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710" tabRatio="634" activeTab="0"/>
  </bookViews>
  <sheets>
    <sheet name="Inversiones y Financiamiento" sheetId="1" r:id="rId1"/>
    <sheet name="Costos Unitarios y Ventas Estim" sheetId="2" r:id="rId2"/>
    <sheet name="Flujos y Resumen Financiero" sheetId="3" r:id="rId3"/>
  </sheets>
  <definedNames>
    <definedName name="_xlnm.Print_Area" localSheetId="1">'Costos Unitarios y Ventas Estim'!$A$1:$H$66</definedName>
    <definedName name="_xlnm.Print_Area" localSheetId="2">'Flujos y Resumen Financiero'!$A$1:$H$66</definedName>
    <definedName name="_xlnm.Print_Area" localSheetId="0">'Inversiones y Financiamiento'!$A$1:$H$66</definedName>
  </definedNames>
  <calcPr fullCalcOnLoad="1"/>
</workbook>
</file>

<file path=xl/sharedStrings.xml><?xml version="1.0" encoding="utf-8"?>
<sst xmlns="http://schemas.openxmlformats.org/spreadsheetml/2006/main" count="267" uniqueCount="216">
  <si>
    <t>Inversiones Fijas</t>
  </si>
  <si>
    <t>Imprevistos</t>
  </si>
  <si>
    <t>año 1</t>
  </si>
  <si>
    <t>año 2</t>
  </si>
  <si>
    <t>Intangibles</t>
  </si>
  <si>
    <t>año 3</t>
  </si>
  <si>
    <t>año 4</t>
  </si>
  <si>
    <t>año 5</t>
  </si>
  <si>
    <t>Intereses</t>
  </si>
  <si>
    <t>año 6</t>
  </si>
  <si>
    <t>Depreciación</t>
  </si>
  <si>
    <t>Sierra</t>
  </si>
  <si>
    <t>Sierra sin fin pequeña</t>
  </si>
  <si>
    <t>Compresor y elementos para pintura</t>
  </si>
  <si>
    <t>Computadora</t>
  </si>
  <si>
    <t>Pintura + lijas</t>
  </si>
  <si>
    <t>Placas de madera</t>
  </si>
  <si>
    <t>Fresa</t>
  </si>
  <si>
    <t>Mantenimiento</t>
  </si>
  <si>
    <t xml:space="preserve">Salario operario + cargas </t>
  </si>
  <si>
    <t>Desembolso
Inicial</t>
  </si>
  <si>
    <t>Flujo de caja 1</t>
  </si>
  <si>
    <t>Flujo de caja 2</t>
  </si>
  <si>
    <t>Flujo de caja 3</t>
  </si>
  <si>
    <t>Flujo de caja 4</t>
  </si>
  <si>
    <t>Flujo de caja 5</t>
  </si>
  <si>
    <t>A</t>
  </si>
  <si>
    <t>Valor actualizado Neto VAN  =</t>
  </si>
  <si>
    <t>Tasa Interna de Retorno TIR  =</t>
  </si>
  <si>
    <t>Router</t>
  </si>
  <si>
    <t>Sierra combinada</t>
  </si>
  <si>
    <t>Taladro de banco</t>
  </si>
  <si>
    <t>Lijadora de mano</t>
  </si>
  <si>
    <t>Cantonera</t>
  </si>
  <si>
    <t>Sistema operativo</t>
  </si>
  <si>
    <t>Cad diseño</t>
  </si>
  <si>
    <t>Office</t>
  </si>
  <si>
    <t>Otros equipos</t>
  </si>
  <si>
    <t>Horas de trabajo</t>
  </si>
  <si>
    <t>UYU/Hora</t>
  </si>
  <si>
    <t>USD/Hora</t>
  </si>
  <si>
    <t>Canto</t>
  </si>
  <si>
    <t>DETALLE DE INVERSIONES DEL PROYECTO</t>
  </si>
  <si>
    <t>A.1</t>
  </si>
  <si>
    <t>A.2</t>
  </si>
  <si>
    <t>A.3</t>
  </si>
  <si>
    <t>A.4</t>
  </si>
  <si>
    <t>A.5</t>
  </si>
  <si>
    <t>A.6</t>
  </si>
  <si>
    <t>A.7</t>
  </si>
  <si>
    <t>B</t>
  </si>
  <si>
    <t>B.1</t>
  </si>
  <si>
    <t>impresora</t>
  </si>
  <si>
    <t>B.2</t>
  </si>
  <si>
    <t>B.3</t>
  </si>
  <si>
    <t>C</t>
  </si>
  <si>
    <t>C.1</t>
  </si>
  <si>
    <t>C.2</t>
  </si>
  <si>
    <t>C.3</t>
  </si>
  <si>
    <t>C.4</t>
  </si>
  <si>
    <t>Obra civil / Reformas / Instalaciones</t>
  </si>
  <si>
    <t>Sub Total Equipos</t>
  </si>
  <si>
    <t>Otros Equipos / Varios</t>
  </si>
  <si>
    <t>Equipos para Operaciones</t>
  </si>
  <si>
    <t>Sub Total Otros</t>
  </si>
  <si>
    <t>Sub Total Obras / Instalaciones</t>
  </si>
  <si>
    <t>Sub Total Intangibles</t>
  </si>
  <si>
    <t>Licencias / Patentes / Marcas</t>
  </si>
  <si>
    <t>Refacción Albañilería</t>
  </si>
  <si>
    <t>Instalación Eléctrica, Luminarias</t>
  </si>
  <si>
    <t>Pintura y Cartelería</t>
  </si>
  <si>
    <t>Mobiliario</t>
  </si>
  <si>
    <t>D</t>
  </si>
  <si>
    <t>D.1</t>
  </si>
  <si>
    <t>D.2</t>
  </si>
  <si>
    <t>D.3</t>
  </si>
  <si>
    <t>D.4</t>
  </si>
  <si>
    <t>Total Inversiones Fijas</t>
  </si>
  <si>
    <t>RESUMEN DE INVERSIONES DEL PROYECTO</t>
  </si>
  <si>
    <t>USD</t>
  </si>
  <si>
    <t>Duración años</t>
  </si>
  <si>
    <t>% Rescate</t>
  </si>
  <si>
    <t>Valor Rescate</t>
  </si>
  <si>
    <t>E</t>
  </si>
  <si>
    <t>DETALLE DE FINANCIAMIENTO DEL PROYECTO</t>
  </si>
  <si>
    <t>Composición del Financiamiento</t>
  </si>
  <si>
    <t>Amortización del Crédito</t>
  </si>
  <si>
    <t>Plazo del crédito en Años</t>
  </si>
  <si>
    <t>año 0 (inicio)</t>
  </si>
  <si>
    <t>DEPRECIACIÓN ANUAL DEL PROYECTO</t>
  </si>
  <si>
    <t>Descripción de cada ítem de Inversión (características /proceso/ etapa)</t>
  </si>
  <si>
    <t>Ejemplo</t>
  </si>
  <si>
    <t>Crédito Necesario para Financiar el Proyecto</t>
  </si>
  <si>
    <t>Forma de pago y tasa del Crédito</t>
  </si>
  <si>
    <t>Tabla de Repago del Crédito</t>
  </si>
  <si>
    <t>Saldo Crédito a Pagar (amortización constante)</t>
  </si>
  <si>
    <t>Cuota de repago anual (amortización constante)</t>
  </si>
  <si>
    <t xml:space="preserve">    Aclaración: No se incluye en este financiamiento el Capital de Trabajo necesario</t>
  </si>
  <si>
    <t>F</t>
  </si>
  <si>
    <t>HOJA 01-2015</t>
  </si>
  <si>
    <t>Costo Unitario Producto #01</t>
  </si>
  <si>
    <t>F.1</t>
  </si>
  <si>
    <t>F.2</t>
  </si>
  <si>
    <t>F.3</t>
  </si>
  <si>
    <t>F.4</t>
  </si>
  <si>
    <t>F.5</t>
  </si>
  <si>
    <t>F.6</t>
  </si>
  <si>
    <t>F.7</t>
  </si>
  <si>
    <t>Detalle</t>
  </si>
  <si>
    <t>Cant  /Unidad</t>
  </si>
  <si>
    <t>HOJA 02-2015</t>
  </si>
  <si>
    <t>Sub Total Producto #01</t>
  </si>
  <si>
    <t>G</t>
  </si>
  <si>
    <t>G.1</t>
  </si>
  <si>
    <t>G.2</t>
  </si>
  <si>
    <t>G.3</t>
  </si>
  <si>
    <t>G.4</t>
  </si>
  <si>
    <t>G.5</t>
  </si>
  <si>
    <t>G.6</t>
  </si>
  <si>
    <t>G.7</t>
  </si>
  <si>
    <t>Costo Unitario Producto #02</t>
  </si>
  <si>
    <t>Sub Total Producto #02</t>
  </si>
  <si>
    <t>H</t>
  </si>
  <si>
    <t>H.1</t>
  </si>
  <si>
    <t>H.2</t>
  </si>
  <si>
    <t>H.3</t>
  </si>
  <si>
    <t>H.4</t>
  </si>
  <si>
    <t>H.5</t>
  </si>
  <si>
    <t>H.6</t>
  </si>
  <si>
    <t>H.7</t>
  </si>
  <si>
    <t>Costo Unitario Producto #03</t>
  </si>
  <si>
    <t>Sub Total Producto #03</t>
  </si>
  <si>
    <t>Cotiz. $UYU</t>
  </si>
  <si>
    <t>Costos salariales directos</t>
  </si>
  <si>
    <t>Horas de Trabajo Mensuales</t>
  </si>
  <si>
    <t>Costo de la Hora Salarial en Pesos UYU</t>
  </si>
  <si>
    <t>Costo de la Hora Salarial en Dólares USD</t>
  </si>
  <si>
    <t>1 USD</t>
  </si>
  <si>
    <t>USD / Unidad</t>
  </si>
  <si>
    <t xml:space="preserve"> USD Unitario</t>
  </si>
  <si>
    <t>Cant x Unidad</t>
  </si>
  <si>
    <t>Tasa de interés anual lineal en USD</t>
  </si>
  <si>
    <t>Aportes de los Socios USD</t>
  </si>
  <si>
    <t>En USD</t>
  </si>
  <si>
    <t>Aportes Sociales aproximados</t>
  </si>
  <si>
    <t>En $UYU</t>
  </si>
  <si>
    <t>Mano de obra en horas</t>
  </si>
  <si>
    <t>Cotización del dólar para el Proyecto</t>
  </si>
  <si>
    <t>Factor de margen sobre costos (según mercado)</t>
  </si>
  <si>
    <t>VARIABLES DEL PROYECTO</t>
  </si>
  <si>
    <t>PROYECCIÓN DE VENTAS ESTIMADAS POR AÑO</t>
  </si>
  <si>
    <t>Cantidad de Ventas Anuales Producto #01</t>
  </si>
  <si>
    <t>Cantidad de Ventas Anuales Producto #02</t>
  </si>
  <si>
    <t>Cantidad de Ventas Anuales Producto #03</t>
  </si>
  <si>
    <t>Precio de Venta Unitario Producto #01</t>
  </si>
  <si>
    <t>Precio de Venta Unitario Producto #02</t>
  </si>
  <si>
    <t>Precio de Venta Unitario Producto #03</t>
  </si>
  <si>
    <t>Sub Total Ingresos por ventas Producto #01</t>
  </si>
  <si>
    <t>Sub Total Ingresos por ventas Producto #03</t>
  </si>
  <si>
    <t>Sub Total Ingresos por ventas Producto #02</t>
  </si>
  <si>
    <t>Total Ingresos por Ventas Estimadas Anuales</t>
  </si>
  <si>
    <t>Ingresos por Ventas de los Productos / Servicios en USD</t>
  </si>
  <si>
    <t>DETALLE DE COSTOS UNITARIOS DE LOS PRODUCTOS</t>
  </si>
  <si>
    <t>COMPOSICIÓN DEL COSTO SALARIAL DIRECTO</t>
  </si>
  <si>
    <t>HOJA 03-2015</t>
  </si>
  <si>
    <t>FLUJOS FINANCIEROS DEL PROYECTO</t>
  </si>
  <si>
    <t>Costos Variablles del Proyecto en USD</t>
  </si>
  <si>
    <t>Costos operativos insumos del Producto #02</t>
  </si>
  <si>
    <t>Costos operativos insumos del Producto #01</t>
  </si>
  <si>
    <t>Costos operativos insumos del Producto #03</t>
  </si>
  <si>
    <t>Costo Salarial del Producto #01</t>
  </si>
  <si>
    <t>Costo Salarial del Producto #02</t>
  </si>
  <si>
    <t>Costo Salarial del Producto #03</t>
  </si>
  <si>
    <t>Energía UTE GAS OTROS</t>
  </si>
  <si>
    <t>Otros gastos operativos</t>
  </si>
  <si>
    <t>Administrador / Contador</t>
  </si>
  <si>
    <t>Alquiler Local, Costos Locativos</t>
  </si>
  <si>
    <t>Seguridad, Limpieza</t>
  </si>
  <si>
    <t>Servicios Telefonía Internet Ose</t>
  </si>
  <si>
    <t>Seguros, Impuestos municipales</t>
  </si>
  <si>
    <t>Depreciación de Inversiones</t>
  </si>
  <si>
    <t>Impuesto a la renta</t>
  </si>
  <si>
    <t>I</t>
  </si>
  <si>
    <t>J</t>
  </si>
  <si>
    <t>J.1</t>
  </si>
  <si>
    <t>J.2</t>
  </si>
  <si>
    <t>J.3</t>
  </si>
  <si>
    <t>J.4</t>
  </si>
  <si>
    <t>J.5</t>
  </si>
  <si>
    <t>J.6</t>
  </si>
  <si>
    <t>K</t>
  </si>
  <si>
    <t>L</t>
  </si>
  <si>
    <t>M</t>
  </si>
  <si>
    <t>K.1</t>
  </si>
  <si>
    <t>K.2</t>
  </si>
  <si>
    <t>K.3</t>
  </si>
  <si>
    <t>K.4</t>
  </si>
  <si>
    <t>K.5</t>
  </si>
  <si>
    <t>K.6</t>
  </si>
  <si>
    <t>K.7</t>
  </si>
  <si>
    <t>N</t>
  </si>
  <si>
    <t>Costos Fijos del Proyecto en USD ANUAL</t>
  </si>
  <si>
    <t>Margen según mercado meta</t>
  </si>
  <si>
    <t>Flujo operativo antes de intereses e impuestos</t>
  </si>
  <si>
    <t>Resultado Operativo Anual en USD</t>
  </si>
  <si>
    <t>RESULTADO OPERATIVO ANUAL</t>
  </si>
  <si>
    <t>Flujo de caja del Proyecto</t>
  </si>
  <si>
    <t>Resultado Antes de Impuestos</t>
  </si>
  <si>
    <t>Resultado operativo anual (Fondos generados)</t>
  </si>
  <si>
    <t>Resultados Después de Impuestos</t>
  </si>
  <si>
    <t>Pago de amortización e Intereses del crédito</t>
  </si>
  <si>
    <t>Inversiones iniciales y Valor de rescatefinal</t>
  </si>
  <si>
    <t>Tasa de descuento (costo del capital)</t>
  </si>
  <si>
    <t>Si VAN &gt;0 Proyecto Económicamente Factible</t>
  </si>
  <si>
    <t>RESUMEN FINANCIERO: CÁLCULO DE VAN Y TIR</t>
  </si>
  <si>
    <t>Si TIR &gt;Tasa de referencia del sector: P. Factible</t>
  </si>
</sst>
</file>

<file path=xl/styles.xml><?xml version="1.0" encoding="utf-8"?>
<styleSheet xmlns="http://schemas.openxmlformats.org/spreadsheetml/2006/main">
  <numFmts count="4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#,##0.00\ &quot;usd&quot;"/>
    <numFmt numFmtId="193" formatCode="#,##0.00\ &quot;usd&quot;;[Red]\-#,##0.00\ &quot;usd&quot;"/>
    <numFmt numFmtId="194" formatCode="#,##0.0\ &quot;usd&quot;"/>
    <numFmt numFmtId="195" formatCode="#,##0\ &quot;usd&quot;"/>
    <numFmt numFmtId="196" formatCode="#,##0.0\ &quot;usd&quot;;[Red]\-#,##0.0\ &quot;usd&quot;"/>
    <numFmt numFmtId="197" formatCode="#,##0\ &quot;usd&quot;;[Red]\-#,##0\ &quot;usd&quot;"/>
    <numFmt numFmtId="198" formatCode="#,##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46" applyNumberFormat="1" applyFont="1" applyBorder="1" applyAlignment="1">
      <alignment/>
    </xf>
    <xf numFmtId="181" fontId="0" fillId="0" borderId="0" xfId="46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1" fontId="0" fillId="0" borderId="0" xfId="46" applyNumberFormat="1" applyFont="1" applyAlignment="1">
      <alignment horizontal="center"/>
    </xf>
    <xf numFmtId="10" fontId="0" fillId="33" borderId="0" xfId="0" applyNumberFormat="1" applyFill="1" applyAlignment="1">
      <alignment horizontal="center"/>
    </xf>
    <xf numFmtId="0" fontId="0" fillId="0" borderId="0" xfId="0" applyFont="1" applyFill="1" applyBorder="1" applyAlignment="1">
      <alignment/>
    </xf>
    <xf numFmtId="181" fontId="0" fillId="34" borderId="10" xfId="46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9" fontId="44" fillId="0" borderId="0" xfId="46" applyFont="1" applyAlignment="1">
      <alignment horizontal="center"/>
    </xf>
    <xf numFmtId="181" fontId="44" fillId="0" borderId="0" xfId="46" applyNumberFormat="1" applyFont="1" applyAlignment="1">
      <alignment horizontal="center"/>
    </xf>
    <xf numFmtId="181" fontId="44" fillId="0" borderId="0" xfId="46" applyNumberFormat="1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9" fontId="0" fillId="19" borderId="10" xfId="52" applyFont="1" applyFill="1" applyBorder="1" applyAlignment="1">
      <alignment horizontal="right"/>
    </xf>
    <xf numFmtId="0" fontId="0" fillId="19" borderId="10" xfId="0" applyFill="1" applyBorder="1" applyAlignment="1">
      <alignment horizontal="center"/>
    </xf>
    <xf numFmtId="181" fontId="0" fillId="0" borderId="10" xfId="46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0" fillId="19" borderId="10" xfId="46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9" borderId="10" xfId="0" applyFill="1" applyBorder="1" applyAlignment="1">
      <alignment/>
    </xf>
    <xf numFmtId="181" fontId="0" fillId="29" borderId="10" xfId="46" applyNumberFormat="1" applyFont="1" applyFill="1" applyBorder="1" applyAlignment="1">
      <alignment horizontal="center"/>
    </xf>
    <xf numFmtId="3" fontId="0" fillId="19" borderId="10" xfId="0" applyNumberFormat="1" applyFont="1" applyFill="1" applyBorder="1" applyAlignment="1">
      <alignment horizontal="left" vertical="top"/>
    </xf>
    <xf numFmtId="3" fontId="0" fillId="19" borderId="10" xfId="0" applyNumberFormat="1" applyFill="1" applyBorder="1" applyAlignment="1">
      <alignment horizontal="left" vertical="top"/>
    </xf>
    <xf numFmtId="0" fontId="0" fillId="29" borderId="10" xfId="0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0" fillId="19" borderId="10" xfId="0" applyFill="1" applyBorder="1" applyAlignment="1">
      <alignment/>
    </xf>
    <xf numFmtId="9" fontId="0" fillId="19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1" fontId="2" fillId="34" borderId="10" xfId="46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19" borderId="14" xfId="0" applyNumberFormat="1" applyFill="1" applyBorder="1" applyAlignment="1">
      <alignment vertical="top"/>
    </xf>
    <xf numFmtId="3" fontId="0" fillId="19" borderId="15" xfId="0" applyNumberFormat="1" applyFill="1" applyBorder="1" applyAlignment="1">
      <alignment vertical="top"/>
    </xf>
    <xf numFmtId="0" fontId="2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19" borderId="10" xfId="0" applyFont="1" applyFill="1" applyBorder="1" applyAlignment="1">
      <alignment/>
    </xf>
    <xf numFmtId="179" fontId="0" fillId="19" borderId="10" xfId="46" applyFont="1" applyFill="1" applyBorder="1" applyAlignment="1">
      <alignment/>
    </xf>
    <xf numFmtId="0" fontId="0" fillId="19" borderId="10" xfId="0" applyFont="1" applyFill="1" applyBorder="1" applyAlignment="1">
      <alignment/>
    </xf>
    <xf numFmtId="179" fontId="0" fillId="19" borderId="10" xfId="46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1" fontId="0" fillId="0" borderId="0" xfId="46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0" fontId="3" fillId="0" borderId="0" xfId="0" applyFont="1" applyBorder="1" applyAlignment="1">
      <alignment/>
    </xf>
    <xf numFmtId="181" fontId="44" fillId="0" borderId="0" xfId="4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81" fontId="0" fillId="0" borderId="0" xfId="46" applyNumberFormat="1" applyFont="1" applyFill="1" applyBorder="1" applyAlignment="1">
      <alignment/>
    </xf>
    <xf numFmtId="9" fontId="0" fillId="0" borderId="0" xfId="52" applyFont="1" applyFill="1" applyBorder="1" applyAlignment="1">
      <alignment horizontal="right"/>
    </xf>
    <xf numFmtId="181" fontId="0" fillId="0" borderId="0" xfId="46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79" fontId="0" fillId="0" borderId="0" xfId="46" applyFont="1" applyFill="1" applyBorder="1" applyAlignment="1">
      <alignment/>
    </xf>
    <xf numFmtId="179" fontId="0" fillId="0" borderId="10" xfId="46" applyNumberFormat="1" applyFont="1" applyFill="1" applyBorder="1" applyAlignment="1">
      <alignment/>
    </xf>
    <xf numFmtId="179" fontId="45" fillId="35" borderId="17" xfId="46" applyFont="1" applyFill="1" applyBorder="1" applyAlignment="1">
      <alignment horizontal="center"/>
    </xf>
    <xf numFmtId="179" fontId="2" fillId="0" borderId="10" xfId="46" applyFont="1" applyBorder="1" applyAlignment="1">
      <alignment horizontal="center" wrapText="1"/>
    </xf>
    <xf numFmtId="179" fontId="0" fillId="0" borderId="10" xfId="46" applyFont="1" applyBorder="1" applyAlignment="1">
      <alignment horizontal="center" wrapText="1"/>
    </xf>
    <xf numFmtId="2" fontId="46" fillId="0" borderId="0" xfId="0" applyNumberFormat="1" applyFont="1" applyAlignment="1">
      <alignment horizontal="right"/>
    </xf>
    <xf numFmtId="179" fontId="2" fillId="0" borderId="0" xfId="46" applyFont="1" applyAlignment="1">
      <alignment horizontal="right"/>
    </xf>
    <xf numFmtId="179" fontId="46" fillId="0" borderId="0" xfId="46" applyFont="1" applyAlignment="1">
      <alignment horizontal="center"/>
    </xf>
    <xf numFmtId="179" fontId="0" fillId="0" borderId="10" xfId="46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9" fontId="45" fillId="35" borderId="17" xfId="52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9" fontId="2" fillId="0" borderId="0" xfId="46" applyFont="1" applyFill="1" applyBorder="1" applyAlignment="1">
      <alignment horizontal="center"/>
    </xf>
    <xf numFmtId="181" fontId="2" fillId="0" borderId="0" xfId="46" applyNumberFormat="1" applyFont="1" applyFill="1" applyBorder="1" applyAlignment="1">
      <alignment horizontal="center"/>
    </xf>
    <xf numFmtId="181" fontId="46" fillId="0" borderId="0" xfId="46" applyNumberFormat="1" applyFont="1" applyFill="1" applyBorder="1" applyAlignment="1">
      <alignment/>
    </xf>
    <xf numFmtId="181" fontId="47" fillId="0" borderId="0" xfId="46" applyNumberFormat="1" applyFont="1" applyFill="1" applyBorder="1" applyAlignment="1">
      <alignment/>
    </xf>
    <xf numFmtId="181" fontId="47" fillId="0" borderId="12" xfId="46" applyNumberFormat="1" applyFont="1" applyFill="1" applyBorder="1" applyAlignment="1">
      <alignment/>
    </xf>
    <xf numFmtId="181" fontId="47" fillId="0" borderId="13" xfId="46" applyNumberFormat="1" applyFont="1" applyFill="1" applyBorder="1" applyAlignment="1">
      <alignment/>
    </xf>
    <xf numFmtId="181" fontId="3" fillId="0" borderId="12" xfId="46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181" fontId="0" fillId="0" borderId="14" xfId="46" applyNumberFormat="1" applyFont="1" applyFill="1" applyBorder="1" applyAlignment="1">
      <alignment/>
    </xf>
    <xf numFmtId="181" fontId="0" fillId="19" borderId="15" xfId="46" applyNumberFormat="1" applyFont="1" applyFill="1" applyBorder="1" applyAlignment="1">
      <alignment/>
    </xf>
    <xf numFmtId="181" fontId="0" fillId="0" borderId="15" xfId="46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81" fontId="3" fillId="0" borderId="15" xfId="46" applyNumberFormat="1" applyFont="1" applyFill="1" applyBorder="1" applyAlignment="1">
      <alignment/>
    </xf>
    <xf numFmtId="181" fontId="0" fillId="0" borderId="14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181" fontId="0" fillId="0" borderId="10" xfId="46" applyNumberFormat="1" applyFont="1" applyFill="1" applyBorder="1" applyAlignment="1">
      <alignment/>
    </xf>
    <xf numFmtId="181" fontId="3" fillId="0" borderId="10" xfId="46" applyNumberFormat="1" applyFont="1" applyFill="1" applyBorder="1" applyAlignment="1">
      <alignment/>
    </xf>
    <xf numFmtId="179" fontId="0" fillId="0" borderId="0" xfId="46" applyFont="1" applyFill="1" applyBorder="1" applyAlignment="1">
      <alignment/>
    </xf>
    <xf numFmtId="179" fontId="0" fillId="0" borderId="0" xfId="46" applyFont="1" applyFill="1" applyBorder="1" applyAlignment="1">
      <alignment horizontal="center" wrapText="1"/>
    </xf>
    <xf numFmtId="179" fontId="44" fillId="0" borderId="0" xfId="46" applyFont="1" applyFill="1" applyBorder="1" applyAlignment="1">
      <alignment horizontal="center"/>
    </xf>
    <xf numFmtId="179" fontId="2" fillId="0" borderId="0" xfId="46" applyFont="1" applyFill="1" applyBorder="1" applyAlignment="1">
      <alignment horizontal="right"/>
    </xf>
    <xf numFmtId="181" fontId="3" fillId="0" borderId="0" xfId="46" applyNumberFormat="1" applyFont="1" applyFill="1" applyBorder="1" applyAlignment="1">
      <alignment horizontal="center"/>
    </xf>
    <xf numFmtId="179" fontId="0" fillId="0" borderId="0" xfId="46" applyFont="1" applyAlignment="1">
      <alignment/>
    </xf>
    <xf numFmtId="179" fontId="0" fillId="0" borderId="0" xfId="46" applyFont="1" applyFill="1" applyBorder="1" applyAlignment="1">
      <alignment horizontal="center"/>
    </xf>
    <xf numFmtId="179" fontId="0" fillId="0" borderId="0" xfId="46" applyFont="1" applyFill="1" applyBorder="1" applyAlignment="1">
      <alignment vertical="top"/>
    </xf>
    <xf numFmtId="181" fontId="0" fillId="0" borderId="0" xfId="46" applyNumberFormat="1" applyFont="1" applyFill="1" applyBorder="1" applyAlignment="1">
      <alignment/>
    </xf>
    <xf numFmtId="181" fontId="0" fillId="0" borderId="0" xfId="46" applyNumberFormat="1" applyFont="1" applyBorder="1" applyAlignment="1">
      <alignment horizontal="center"/>
    </xf>
    <xf numFmtId="181" fontId="2" fillId="0" borderId="0" xfId="46" applyNumberFormat="1" applyFont="1" applyAlignment="1">
      <alignment horizontal="right"/>
    </xf>
    <xf numFmtId="181" fontId="46" fillId="0" borderId="0" xfId="46" applyNumberFormat="1" applyFont="1" applyAlignment="1">
      <alignment horizontal="right"/>
    </xf>
    <xf numFmtId="181" fontId="0" fillId="0" borderId="0" xfId="46" applyNumberFormat="1" applyFont="1" applyFill="1" applyBorder="1" applyAlignment="1">
      <alignment horizontal="left" vertical="top"/>
    </xf>
    <xf numFmtId="181" fontId="46" fillId="0" borderId="0" xfId="46" applyNumberFormat="1" applyFont="1" applyFill="1" applyBorder="1" applyAlignment="1">
      <alignment/>
    </xf>
    <xf numFmtId="181" fontId="46" fillId="0" borderId="0" xfId="46" applyNumberFormat="1" applyFont="1" applyFill="1" applyBorder="1" applyAlignment="1">
      <alignment horizontal="center" wrapText="1"/>
    </xf>
    <xf numFmtId="181" fontId="46" fillId="0" borderId="0" xfId="46" applyNumberFormat="1" applyFont="1" applyFill="1" applyBorder="1" applyAlignment="1">
      <alignment vertical="top"/>
    </xf>
    <xf numFmtId="4" fontId="45" fillId="35" borderId="17" xfId="5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81" fontId="47" fillId="0" borderId="0" xfId="0" applyNumberFormat="1" applyFont="1" applyBorder="1" applyAlignment="1">
      <alignment/>
    </xf>
    <xf numFmtId="181" fontId="0" fillId="19" borderId="0" xfId="46" applyNumberFormat="1" applyFont="1" applyFill="1" applyBorder="1" applyAlignment="1">
      <alignment/>
    </xf>
    <xf numFmtId="181" fontId="46" fillId="0" borderId="10" xfId="46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81" fontId="2" fillId="0" borderId="10" xfId="46" applyNumberFormat="1" applyFont="1" applyBorder="1" applyAlignment="1">
      <alignment/>
    </xf>
    <xf numFmtId="181" fontId="48" fillId="0" borderId="0" xfId="46" applyNumberFormat="1" applyFont="1" applyFill="1" applyAlignment="1">
      <alignment horizontal="center"/>
    </xf>
    <xf numFmtId="197" fontId="3" fillId="36" borderId="0" xfId="0" applyNumberFormat="1" applyFont="1" applyFill="1" applyAlignment="1">
      <alignment horizontal="center"/>
    </xf>
    <xf numFmtId="10" fontId="3" fillId="36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195" fontId="4" fillId="33" borderId="0" xfId="0" applyNumberFormat="1" applyFont="1" applyFill="1" applyAlignment="1">
      <alignment horizontal="center"/>
    </xf>
    <xf numFmtId="195" fontId="47" fillId="33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7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9989" t="10939" r="9809" b="45176"/>
        <a:stretch>
          <a:fillRect/>
        </a:stretch>
      </xdr:blipFill>
      <xdr:spPr>
        <a:xfrm>
          <a:off x="381000" y="0"/>
          <a:ext cx="485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9989" t="10939" r="9809" b="45176"/>
        <a:stretch>
          <a:fillRect/>
        </a:stretch>
      </xdr:blipFill>
      <xdr:spPr>
        <a:xfrm>
          <a:off x="381000" y="0"/>
          <a:ext cx="485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9989" t="10939" r="9809" b="45176"/>
        <a:stretch>
          <a:fillRect/>
        </a:stretch>
      </xdr:blipFill>
      <xdr:spPr>
        <a:xfrm>
          <a:off x="381000" y="0"/>
          <a:ext cx="485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SheetLayoutView="100" zoomScalePageLayoutView="0" workbookViewId="0" topLeftCell="A1">
      <selection activeCell="G45" sqref="G45"/>
    </sheetView>
  </sheetViews>
  <sheetFormatPr defaultColWidth="11.421875" defaultRowHeight="12.75"/>
  <cols>
    <col min="1" max="1" width="5.7109375" style="33" customWidth="1"/>
    <col min="2" max="2" width="40.8515625" style="0" customWidth="1"/>
    <col min="3" max="9" width="14.7109375" style="0" customWidth="1"/>
  </cols>
  <sheetData>
    <row r="1" ht="12.75">
      <c r="H1" s="9" t="s">
        <v>99</v>
      </c>
    </row>
    <row r="2" ht="12.75"/>
    <row r="3" ht="12.75"/>
    <row r="4" ht="12.75"/>
    <row r="5" ht="12.75"/>
    <row r="6" ht="12.75"/>
    <row r="7" ht="12.75"/>
    <row r="8" ht="13.5" thickBot="1"/>
    <row r="9" spans="2:5" ht="26.25" customHeight="1" thickBot="1">
      <c r="B9" s="20" t="s">
        <v>42</v>
      </c>
      <c r="C9" s="22"/>
      <c r="D9" s="27"/>
      <c r="E9" s="27"/>
    </row>
    <row r="10" spans="3:5" ht="12.75">
      <c r="C10" s="6"/>
      <c r="D10" s="6"/>
      <c r="E10" s="5"/>
    </row>
    <row r="11" spans="1:8" ht="12.75">
      <c r="A11" s="8" t="s">
        <v>26</v>
      </c>
      <c r="B11" s="7" t="s">
        <v>63</v>
      </c>
      <c r="C11" s="8" t="s">
        <v>79</v>
      </c>
      <c r="D11" s="34" t="s">
        <v>90</v>
      </c>
      <c r="E11" s="34"/>
      <c r="F11" s="34"/>
      <c r="G11" s="34"/>
      <c r="H11" s="34"/>
    </row>
    <row r="12" spans="1:8" ht="12.75">
      <c r="A12" s="37" t="s">
        <v>43</v>
      </c>
      <c r="B12" s="39" t="s">
        <v>29</v>
      </c>
      <c r="C12" s="40">
        <v>12840</v>
      </c>
      <c r="D12" s="41" t="s">
        <v>91</v>
      </c>
      <c r="E12" s="42"/>
      <c r="F12" s="42"/>
      <c r="G12" s="42"/>
      <c r="H12" s="42"/>
    </row>
    <row r="13" spans="1:8" ht="12.75">
      <c r="A13" s="37" t="s">
        <v>44</v>
      </c>
      <c r="B13" s="39" t="s">
        <v>30</v>
      </c>
      <c r="C13" s="40">
        <v>1300</v>
      </c>
      <c r="D13" s="41"/>
      <c r="E13" s="42"/>
      <c r="F13" s="42"/>
      <c r="G13" s="42"/>
      <c r="H13" s="42"/>
    </row>
    <row r="14" spans="1:8" ht="12.75">
      <c r="A14" s="37" t="s">
        <v>45</v>
      </c>
      <c r="B14" s="39" t="s">
        <v>31</v>
      </c>
      <c r="C14" s="40">
        <v>300</v>
      </c>
      <c r="D14" s="41"/>
      <c r="E14" s="42"/>
      <c r="F14" s="42"/>
      <c r="G14" s="42"/>
      <c r="H14" s="42"/>
    </row>
    <row r="15" spans="1:8" ht="12.75">
      <c r="A15" s="37" t="s">
        <v>46</v>
      </c>
      <c r="B15" s="39" t="s">
        <v>32</v>
      </c>
      <c r="C15" s="40">
        <f>105*2</f>
        <v>210</v>
      </c>
      <c r="D15" s="41"/>
      <c r="E15" s="42"/>
      <c r="F15" s="42"/>
      <c r="G15" s="42"/>
      <c r="H15" s="42"/>
    </row>
    <row r="16" spans="1:8" ht="12.75">
      <c r="A16" s="37" t="s">
        <v>47</v>
      </c>
      <c r="B16" s="39" t="s">
        <v>33</v>
      </c>
      <c r="C16" s="40">
        <v>200</v>
      </c>
      <c r="D16" s="41"/>
      <c r="E16" s="42"/>
      <c r="F16" s="42"/>
      <c r="G16" s="42"/>
      <c r="H16" s="42"/>
    </row>
    <row r="17" spans="1:8" ht="12.75">
      <c r="A17" s="37" t="s">
        <v>48</v>
      </c>
      <c r="B17" s="39" t="s">
        <v>12</v>
      </c>
      <c r="C17" s="40">
        <v>150</v>
      </c>
      <c r="D17" s="41"/>
      <c r="E17" s="42"/>
      <c r="F17" s="42"/>
      <c r="G17" s="42"/>
      <c r="H17" s="42"/>
    </row>
    <row r="18" spans="1:8" ht="12.75">
      <c r="A18" s="37" t="s">
        <v>49</v>
      </c>
      <c r="B18" s="39" t="s">
        <v>13</v>
      </c>
      <c r="C18" s="40">
        <v>1000</v>
      </c>
      <c r="D18" s="41"/>
      <c r="E18" s="42"/>
      <c r="F18" s="42"/>
      <c r="G18" s="42"/>
      <c r="H18" s="42"/>
    </row>
    <row r="19" spans="2:3" ht="12.75">
      <c r="B19" s="26" t="s">
        <v>61</v>
      </c>
      <c r="C19" s="24">
        <f>SUM(C12:C18)</f>
        <v>16000</v>
      </c>
    </row>
    <row r="20" ht="12.75">
      <c r="C20" s="24"/>
    </row>
    <row r="21" spans="1:3" ht="12.75">
      <c r="A21" s="8" t="s">
        <v>50</v>
      </c>
      <c r="B21" s="7" t="s">
        <v>62</v>
      </c>
      <c r="C21" s="14"/>
    </row>
    <row r="22" spans="1:8" ht="12.75">
      <c r="A22" s="37" t="s">
        <v>51</v>
      </c>
      <c r="B22" s="43" t="s">
        <v>14</v>
      </c>
      <c r="C22" s="40">
        <v>700</v>
      </c>
      <c r="D22" s="41"/>
      <c r="E22" s="42"/>
      <c r="F22" s="42"/>
      <c r="G22" s="42"/>
      <c r="H22" s="42"/>
    </row>
    <row r="23" spans="1:8" ht="12.75">
      <c r="A23" s="37" t="s">
        <v>53</v>
      </c>
      <c r="B23" s="43" t="s">
        <v>52</v>
      </c>
      <c r="C23" s="40">
        <v>100</v>
      </c>
      <c r="D23" s="41"/>
      <c r="E23" s="42"/>
      <c r="F23" s="42"/>
      <c r="G23" s="42"/>
      <c r="H23" s="42"/>
    </row>
    <row r="24" spans="1:8" ht="12.75">
      <c r="A24" s="37" t="s">
        <v>54</v>
      </c>
      <c r="B24" s="43" t="s">
        <v>37</v>
      </c>
      <c r="C24" s="40">
        <v>200</v>
      </c>
      <c r="D24" s="41"/>
      <c r="E24" s="42"/>
      <c r="F24" s="42"/>
      <c r="G24" s="42"/>
      <c r="H24" s="42"/>
    </row>
    <row r="25" spans="2:3" ht="12.75">
      <c r="B25" s="26" t="s">
        <v>64</v>
      </c>
      <c r="C25" s="25">
        <f>SUM(C22:C24)</f>
        <v>1000</v>
      </c>
    </row>
    <row r="26" spans="2:3" ht="12.75">
      <c r="B26" s="26"/>
      <c r="C26" s="25"/>
    </row>
    <row r="27" spans="1:3" ht="12.75">
      <c r="A27" s="8" t="s">
        <v>55</v>
      </c>
      <c r="B27" s="7" t="s">
        <v>4</v>
      </c>
      <c r="C27" s="25"/>
    </row>
    <row r="28" spans="1:8" ht="12.75">
      <c r="A28" s="37" t="s">
        <v>56</v>
      </c>
      <c r="B28" s="39" t="s">
        <v>34</v>
      </c>
      <c r="C28" s="40">
        <v>150</v>
      </c>
      <c r="D28" s="41"/>
      <c r="E28" s="42"/>
      <c r="F28" s="42"/>
      <c r="G28" s="42"/>
      <c r="H28" s="42"/>
    </row>
    <row r="29" spans="1:8" ht="12.75">
      <c r="A29" s="37" t="s">
        <v>57</v>
      </c>
      <c r="B29" s="39" t="s">
        <v>35</v>
      </c>
      <c r="C29" s="40">
        <v>650</v>
      </c>
      <c r="D29" s="41"/>
      <c r="E29" s="42"/>
      <c r="F29" s="42"/>
      <c r="G29" s="42"/>
      <c r="H29" s="42"/>
    </row>
    <row r="30" spans="1:8" ht="12.75">
      <c r="A30" s="37" t="s">
        <v>58</v>
      </c>
      <c r="B30" s="39" t="s">
        <v>36</v>
      </c>
      <c r="C30" s="40">
        <v>200</v>
      </c>
      <c r="D30" s="41"/>
      <c r="E30" s="42"/>
      <c r="F30" s="42"/>
      <c r="G30" s="42"/>
      <c r="H30" s="42"/>
    </row>
    <row r="31" spans="1:8" ht="12.75">
      <c r="A31" s="37" t="s">
        <v>59</v>
      </c>
      <c r="B31" s="39" t="s">
        <v>67</v>
      </c>
      <c r="C31" s="40">
        <v>0</v>
      </c>
      <c r="D31" s="41"/>
      <c r="E31" s="42"/>
      <c r="F31" s="42"/>
      <c r="G31" s="42"/>
      <c r="H31" s="42"/>
    </row>
    <row r="32" spans="2:3" ht="12.75">
      <c r="B32" s="26" t="s">
        <v>66</v>
      </c>
      <c r="C32" s="25">
        <f>SUM(C28:C31)</f>
        <v>1000</v>
      </c>
    </row>
    <row r="33" spans="2:3" ht="12.75">
      <c r="B33" s="9"/>
      <c r="C33" s="25"/>
    </row>
    <row r="34" spans="1:3" ht="12.75">
      <c r="A34" s="8" t="s">
        <v>72</v>
      </c>
      <c r="B34" s="7" t="s">
        <v>60</v>
      </c>
      <c r="C34" s="25"/>
    </row>
    <row r="35" spans="1:8" ht="12.75">
      <c r="A35" s="37" t="s">
        <v>73</v>
      </c>
      <c r="B35" s="43" t="s">
        <v>68</v>
      </c>
      <c r="C35" s="40">
        <v>800</v>
      </c>
      <c r="D35" s="41"/>
      <c r="E35" s="42"/>
      <c r="F35" s="42"/>
      <c r="G35" s="42"/>
      <c r="H35" s="42"/>
    </row>
    <row r="36" spans="1:8" ht="12.75">
      <c r="A36" s="37" t="s">
        <v>74</v>
      </c>
      <c r="B36" s="43" t="s">
        <v>69</v>
      </c>
      <c r="C36" s="40">
        <v>500</v>
      </c>
      <c r="D36" s="41"/>
      <c r="E36" s="42"/>
      <c r="F36" s="42"/>
      <c r="G36" s="42"/>
      <c r="H36" s="42"/>
    </row>
    <row r="37" spans="1:8" ht="12.75">
      <c r="A37" s="37" t="s">
        <v>75</v>
      </c>
      <c r="B37" s="43" t="s">
        <v>70</v>
      </c>
      <c r="C37" s="40">
        <v>150</v>
      </c>
      <c r="D37" s="41"/>
      <c r="E37" s="42"/>
      <c r="F37" s="42"/>
      <c r="G37" s="42"/>
      <c r="H37" s="42"/>
    </row>
    <row r="38" spans="1:8" ht="12.75">
      <c r="A38" s="37" t="s">
        <v>76</v>
      </c>
      <c r="B38" s="43" t="s">
        <v>71</v>
      </c>
      <c r="C38" s="40">
        <v>550</v>
      </c>
      <c r="D38" s="41"/>
      <c r="E38" s="42"/>
      <c r="F38" s="42"/>
      <c r="G38" s="42"/>
      <c r="H38" s="42"/>
    </row>
    <row r="39" spans="2:3" ht="12.75">
      <c r="B39" s="26" t="s">
        <v>65</v>
      </c>
      <c r="C39" s="25">
        <f>SUM(C35:C38)</f>
        <v>2000</v>
      </c>
    </row>
    <row r="40" ht="13.5" thickBot="1"/>
    <row r="41" spans="2:8" ht="26.25" customHeight="1" thickBot="1">
      <c r="B41" s="20" t="s">
        <v>78</v>
      </c>
      <c r="C41" s="22"/>
      <c r="D41" s="27"/>
      <c r="E41" s="27"/>
      <c r="F41" s="20" t="s">
        <v>89</v>
      </c>
      <c r="G41" s="21"/>
      <c r="H41" s="22"/>
    </row>
    <row r="43" spans="2:8" ht="12.75">
      <c r="B43" s="7" t="s">
        <v>0</v>
      </c>
      <c r="C43" s="8" t="s">
        <v>79</v>
      </c>
      <c r="D43" s="8" t="s">
        <v>80</v>
      </c>
      <c r="F43" s="8" t="s">
        <v>10</v>
      </c>
      <c r="G43" s="8" t="s">
        <v>81</v>
      </c>
      <c r="H43" s="8" t="s">
        <v>82</v>
      </c>
    </row>
    <row r="44" spans="1:8" s="19" customFormat="1" ht="12.75" customHeight="1">
      <c r="A44" s="44" t="s">
        <v>26</v>
      </c>
      <c r="B44" s="1" t="str">
        <f>'Inversiones y Financiamiento'!B11</f>
        <v>Equipos para Operaciones</v>
      </c>
      <c r="C44" s="17">
        <f>'Inversiones y Financiamiento'!C19</f>
        <v>16000</v>
      </c>
      <c r="D44" s="31">
        <v>5</v>
      </c>
      <c r="E44" s="18"/>
      <c r="F44" s="2">
        <f>+C44/D44</f>
        <v>3200</v>
      </c>
      <c r="G44" s="30">
        <v>0.2</v>
      </c>
      <c r="H44" s="32">
        <f>C44*G44</f>
        <v>3200</v>
      </c>
    </row>
    <row r="45" spans="1:8" ht="12.75">
      <c r="A45" s="37" t="s">
        <v>50</v>
      </c>
      <c r="B45" s="11" t="str">
        <f>'Inversiones y Financiamiento'!B21</f>
        <v>Otros Equipos / Varios</v>
      </c>
      <c r="C45" s="17">
        <f>'Inversiones y Financiamiento'!C25</f>
        <v>1000</v>
      </c>
      <c r="D45" s="31">
        <v>2</v>
      </c>
      <c r="E45" s="1"/>
      <c r="F45" s="2">
        <f>+C45/D45</f>
        <v>500</v>
      </c>
      <c r="G45" s="30">
        <v>0</v>
      </c>
      <c r="H45" s="32">
        <f>C45*G45</f>
        <v>0</v>
      </c>
    </row>
    <row r="46" spans="1:8" ht="12.75">
      <c r="A46" s="37" t="s">
        <v>55</v>
      </c>
      <c r="B46" s="1" t="str">
        <f>'Inversiones y Financiamiento'!B27</f>
        <v>Intangibles</v>
      </c>
      <c r="C46" s="17">
        <f>'Inversiones y Financiamiento'!C32</f>
        <v>1000</v>
      </c>
      <c r="D46" s="31">
        <v>2</v>
      </c>
      <c r="E46" s="1"/>
      <c r="F46" s="2">
        <f>+C46/D46</f>
        <v>500</v>
      </c>
      <c r="G46" s="30">
        <v>0</v>
      </c>
      <c r="H46" s="32">
        <f>C46*G46</f>
        <v>0</v>
      </c>
    </row>
    <row r="47" spans="1:8" ht="12.75">
      <c r="A47" s="37" t="s">
        <v>72</v>
      </c>
      <c r="B47" s="1" t="str">
        <f>'Inversiones y Financiamiento'!B34</f>
        <v>Obra civil / Reformas / Instalaciones</v>
      </c>
      <c r="C47" s="17">
        <f>'Inversiones y Financiamiento'!C39</f>
        <v>2000</v>
      </c>
      <c r="D47" s="31">
        <v>5</v>
      </c>
      <c r="E47" s="1"/>
      <c r="F47" s="2">
        <f>+C47/D47</f>
        <v>400</v>
      </c>
      <c r="G47" s="30">
        <v>0</v>
      </c>
      <c r="H47" s="32">
        <f>C47*G47</f>
        <v>0</v>
      </c>
    </row>
    <row r="48" spans="1:8" ht="12.75">
      <c r="A48" s="37" t="s">
        <v>83</v>
      </c>
      <c r="B48" s="1" t="s">
        <v>1</v>
      </c>
      <c r="C48" s="35">
        <v>1500</v>
      </c>
      <c r="D48" s="31">
        <v>5</v>
      </c>
      <c r="E48" s="1"/>
      <c r="F48" s="2">
        <f>+C48/D48</f>
        <v>300</v>
      </c>
      <c r="G48" s="30">
        <v>0</v>
      </c>
      <c r="H48" s="32">
        <f>C48*G48</f>
        <v>0</v>
      </c>
    </row>
    <row r="49" spans="2:8" ht="12.75">
      <c r="B49" s="26" t="s">
        <v>77</v>
      </c>
      <c r="C49" s="25">
        <f>SUM(C44:C48)</f>
        <v>21500</v>
      </c>
      <c r="D49" s="28"/>
      <c r="E49" s="10"/>
      <c r="F49" s="25">
        <f>SUM(F44:F48)</f>
        <v>4900</v>
      </c>
      <c r="H49" s="137">
        <f>SUM(H44:H48)</f>
        <v>3200</v>
      </c>
    </row>
    <row r="50" ht="13.5" thickBot="1"/>
    <row r="51" spans="2:5" ht="26.25" customHeight="1" thickBot="1">
      <c r="B51" s="20" t="s">
        <v>84</v>
      </c>
      <c r="C51" s="22"/>
      <c r="D51" s="27"/>
      <c r="E51" s="27"/>
    </row>
    <row r="53" ht="12.75">
      <c r="B53" s="7" t="s">
        <v>85</v>
      </c>
    </row>
    <row r="54" spans="2:3" ht="12.75">
      <c r="B54" s="11" t="s">
        <v>142</v>
      </c>
      <c r="C54" s="35">
        <v>5500</v>
      </c>
    </row>
    <row r="55" spans="2:4" ht="12.75" customHeight="1">
      <c r="B55" s="11" t="s">
        <v>92</v>
      </c>
      <c r="C55" s="48">
        <f>+C49-C54</f>
        <v>16000</v>
      </c>
      <c r="D55" s="49" t="s">
        <v>97</v>
      </c>
    </row>
    <row r="56" ht="12.75" customHeight="1"/>
    <row r="57" ht="12.75" customHeight="1">
      <c r="B57" s="7" t="s">
        <v>93</v>
      </c>
    </row>
    <row r="58" spans="2:3" ht="12.75">
      <c r="B58" s="11" t="s">
        <v>87</v>
      </c>
      <c r="C58" s="45">
        <v>5</v>
      </c>
    </row>
    <row r="59" spans="2:3" ht="12.75">
      <c r="B59" s="11" t="s">
        <v>141</v>
      </c>
      <c r="C59" s="46">
        <v>0.12</v>
      </c>
    </row>
    <row r="61" ht="12.75">
      <c r="B61" s="7" t="s">
        <v>94</v>
      </c>
    </row>
    <row r="62" spans="2:9" ht="12.75">
      <c r="B62" s="11" t="s">
        <v>143</v>
      </c>
      <c r="C62" s="4" t="s">
        <v>88</v>
      </c>
      <c r="D62" s="4" t="s">
        <v>2</v>
      </c>
      <c r="E62" s="4" t="s">
        <v>3</v>
      </c>
      <c r="F62" s="4" t="s">
        <v>5</v>
      </c>
      <c r="G62" s="4" t="s">
        <v>6</v>
      </c>
      <c r="H62" s="4" t="s">
        <v>7</v>
      </c>
      <c r="I62" s="36" t="s">
        <v>9</v>
      </c>
    </row>
    <row r="63" spans="2:9" ht="12.75">
      <c r="B63" s="11" t="s">
        <v>95</v>
      </c>
      <c r="C63" s="2">
        <f>+C55</f>
        <v>16000</v>
      </c>
      <c r="D63" s="2">
        <f>+C63-D65</f>
        <v>12800</v>
      </c>
      <c r="E63" s="2">
        <f>+D63-E65</f>
        <v>9600</v>
      </c>
      <c r="F63" s="2">
        <f>+E63-F65</f>
        <v>6400</v>
      </c>
      <c r="G63" s="2">
        <f>+F63-G65</f>
        <v>3200</v>
      </c>
      <c r="H63" s="2">
        <f>+G63-H65</f>
        <v>0</v>
      </c>
      <c r="I63" s="2">
        <f>+H63-I65</f>
        <v>0</v>
      </c>
    </row>
    <row r="64" spans="2:9" ht="12.75">
      <c r="B64" s="1" t="s">
        <v>8</v>
      </c>
      <c r="C64" s="2"/>
      <c r="D64" s="2">
        <f>+C63*$C$59</f>
        <v>1920</v>
      </c>
      <c r="E64" s="2">
        <f>+D63*$C$59</f>
        <v>1536</v>
      </c>
      <c r="F64" s="2">
        <f>+E63*$C$59</f>
        <v>1152</v>
      </c>
      <c r="G64" s="2">
        <f>+F63*$C$59</f>
        <v>768</v>
      </c>
      <c r="H64" s="2">
        <f>+G63*$C$59</f>
        <v>384</v>
      </c>
      <c r="I64" s="2">
        <f>+H63*$C$59</f>
        <v>0</v>
      </c>
    </row>
    <row r="65" spans="2:9" ht="12.75">
      <c r="B65" s="11" t="s">
        <v>86</v>
      </c>
      <c r="C65" s="2"/>
      <c r="D65" s="2">
        <f>IF($C$58&gt;=1,+$C$55/$C$58,0)</f>
        <v>3200</v>
      </c>
      <c r="E65" s="2">
        <f>IF($C$58&gt;=2,+$C$55/$C$58,0)</f>
        <v>3200</v>
      </c>
      <c r="F65" s="2">
        <f>IF($C$58&gt;=3,+$C$55/$C$58,0)</f>
        <v>3200</v>
      </c>
      <c r="G65" s="2">
        <f>IF($C$58&gt;=4,+$C$55/$C$58,0)</f>
        <v>3200</v>
      </c>
      <c r="H65" s="2">
        <f>IF($C$58&gt;=5,+$C$55/$C$58,0)</f>
        <v>3200</v>
      </c>
      <c r="I65" s="2">
        <f>IF($C$58&gt;=6,+$C$55/$C$58,0)</f>
        <v>0</v>
      </c>
    </row>
    <row r="66" spans="2:9" ht="12.75">
      <c r="B66" s="12" t="s">
        <v>96</v>
      </c>
      <c r="C66" s="47">
        <f>+C64+C65</f>
        <v>0</v>
      </c>
      <c r="D66" s="47">
        <f>+D64+D65</f>
        <v>5120</v>
      </c>
      <c r="E66" s="47">
        <f>+E64+E65</f>
        <v>4736</v>
      </c>
      <c r="F66" s="47">
        <f>+F64+F65</f>
        <v>4352</v>
      </c>
      <c r="G66" s="47">
        <f>+G64+G65</f>
        <v>3968</v>
      </c>
      <c r="H66" s="47">
        <f>+H64+H65</f>
        <v>3584</v>
      </c>
      <c r="I66" s="1"/>
    </row>
  </sheetData>
  <sheetProtection/>
  <mergeCells count="23">
    <mergeCell ref="D37:H37"/>
    <mergeCell ref="D38:H38"/>
    <mergeCell ref="D28:H28"/>
    <mergeCell ref="D29:H29"/>
    <mergeCell ref="D30:H30"/>
    <mergeCell ref="D31:H31"/>
    <mergeCell ref="D35:H35"/>
    <mergeCell ref="D36:H36"/>
    <mergeCell ref="D16:H16"/>
    <mergeCell ref="D17:H17"/>
    <mergeCell ref="D18:H18"/>
    <mergeCell ref="D22:H22"/>
    <mergeCell ref="D23:H23"/>
    <mergeCell ref="D24:H24"/>
    <mergeCell ref="B9:C9"/>
    <mergeCell ref="B41:C41"/>
    <mergeCell ref="B51:C51"/>
    <mergeCell ref="F41:H41"/>
    <mergeCell ref="D11:H11"/>
    <mergeCell ref="D12:H12"/>
    <mergeCell ref="D13:H13"/>
    <mergeCell ref="D14:H14"/>
    <mergeCell ref="D15:H15"/>
  </mergeCells>
  <printOptions/>
  <pageMargins left="0.7086614173228347" right="0.7086614173228347" top="0.7480314960629921" bottom="0.7480314960629921" header="0.31496062992125984" footer="0.5118110236220472"/>
  <pageSetup fitToHeight="1" fitToWidth="1" orientation="portrait" paperSize="9" scale="68" r:id="rId2"/>
  <headerFooter alignWithMargins="0">
    <oddFooter>&amp;LEUCD - FARQ - UDELAR 2015&amp;C&amp;A&amp;R&amp;P</oddFoot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SheetLayoutView="100" zoomScalePageLayoutView="0" workbookViewId="0" topLeftCell="A1">
      <selection activeCell="B56" sqref="B56"/>
    </sheetView>
  </sheetViews>
  <sheetFormatPr defaultColWidth="11.421875" defaultRowHeight="12.75"/>
  <cols>
    <col min="1" max="1" width="5.7109375" style="33" customWidth="1"/>
    <col min="2" max="2" width="40.8515625" style="0" customWidth="1"/>
    <col min="3" max="9" width="14.7109375" style="0" customWidth="1"/>
  </cols>
  <sheetData>
    <row r="1" ht="12.75">
      <c r="H1" s="9" t="s">
        <v>110</v>
      </c>
    </row>
    <row r="2" ht="12.75"/>
    <row r="3" ht="12.75"/>
    <row r="4" ht="12.75"/>
    <row r="5" ht="12.75"/>
    <row r="6" ht="12.75"/>
    <row r="7" ht="12.75"/>
    <row r="8" ht="13.5" thickBot="1"/>
    <row r="9" spans="2:5" ht="26.25" customHeight="1" thickBot="1">
      <c r="B9" s="20" t="s">
        <v>162</v>
      </c>
      <c r="C9" s="22"/>
      <c r="D9" s="27"/>
      <c r="E9" s="27"/>
    </row>
    <row r="10" spans="3:5" ht="12.75">
      <c r="C10" s="6"/>
      <c r="D10" s="6"/>
      <c r="E10" s="5"/>
    </row>
    <row r="11" spans="1:8" ht="12.75">
      <c r="A11" s="8" t="s">
        <v>98</v>
      </c>
      <c r="B11" s="7" t="s">
        <v>100</v>
      </c>
      <c r="C11" s="8" t="s">
        <v>140</v>
      </c>
      <c r="D11" s="56" t="s">
        <v>139</v>
      </c>
      <c r="E11" s="56" t="s">
        <v>138</v>
      </c>
      <c r="F11" s="56" t="s">
        <v>108</v>
      </c>
      <c r="G11" s="56"/>
      <c r="H11" s="56"/>
    </row>
    <row r="12" spans="1:8" ht="12.75">
      <c r="A12" s="37" t="s">
        <v>101</v>
      </c>
      <c r="B12" s="57" t="s">
        <v>16</v>
      </c>
      <c r="C12" s="58">
        <v>2</v>
      </c>
      <c r="D12" s="58">
        <v>30</v>
      </c>
      <c r="E12" s="81">
        <f>D12*C12</f>
        <v>60</v>
      </c>
      <c r="F12" s="50"/>
      <c r="G12" s="50"/>
      <c r="H12" s="51"/>
    </row>
    <row r="13" spans="1:8" ht="12.75">
      <c r="A13" s="37" t="s">
        <v>102</v>
      </c>
      <c r="B13" s="59" t="s">
        <v>41</v>
      </c>
      <c r="C13" s="58">
        <v>1</v>
      </c>
      <c r="D13" s="58">
        <v>8</v>
      </c>
      <c r="E13" s="82">
        <f>+C13*D13</f>
        <v>8</v>
      </c>
      <c r="F13" s="50"/>
      <c r="G13" s="50"/>
      <c r="H13" s="51"/>
    </row>
    <row r="14" spans="1:8" ht="12.75">
      <c r="A14" s="37" t="s">
        <v>103</v>
      </c>
      <c r="B14" s="45" t="s">
        <v>11</v>
      </c>
      <c r="C14" s="58">
        <v>0.01</v>
      </c>
      <c r="D14" s="58">
        <v>10.5</v>
      </c>
      <c r="E14" s="82">
        <f>+C14*D14</f>
        <v>0.105</v>
      </c>
      <c r="F14" s="50"/>
      <c r="G14" s="50"/>
      <c r="H14" s="51"/>
    </row>
    <row r="15" spans="1:8" ht="12.75">
      <c r="A15" s="37" t="s">
        <v>104</v>
      </c>
      <c r="B15" s="59" t="s">
        <v>15</v>
      </c>
      <c r="C15" s="58">
        <v>1</v>
      </c>
      <c r="D15" s="58">
        <v>15</v>
      </c>
      <c r="E15" s="82">
        <f>+C15*D15</f>
        <v>15</v>
      </c>
      <c r="F15" s="50"/>
      <c r="G15" s="50"/>
      <c r="H15" s="51"/>
    </row>
    <row r="16" spans="1:8" ht="12.75">
      <c r="A16" s="37" t="s">
        <v>105</v>
      </c>
      <c r="B16" s="59" t="s">
        <v>17</v>
      </c>
      <c r="C16" s="58">
        <f>1/100*2</f>
        <v>0.02</v>
      </c>
      <c r="D16" s="58">
        <v>30</v>
      </c>
      <c r="E16" s="82">
        <f>+C16*D16</f>
        <v>0.6</v>
      </c>
      <c r="F16" s="50"/>
      <c r="G16" s="50"/>
      <c r="H16" s="51"/>
    </row>
    <row r="17" spans="1:8" ht="12.75">
      <c r="A17" s="37" t="s">
        <v>106</v>
      </c>
      <c r="B17" s="59" t="s">
        <v>18</v>
      </c>
      <c r="C17" s="58">
        <f>(1/600)*C18</f>
        <v>0.006666666666666667</v>
      </c>
      <c r="D17" s="58">
        <v>400</v>
      </c>
      <c r="E17" s="82">
        <f>+C17*D17</f>
        <v>2.666666666666667</v>
      </c>
      <c r="F17" s="50"/>
      <c r="G17" s="50"/>
      <c r="H17" s="51"/>
    </row>
    <row r="18" spans="1:8" ht="12.75">
      <c r="A18" s="37" t="s">
        <v>107</v>
      </c>
      <c r="B18" s="13" t="s">
        <v>146</v>
      </c>
      <c r="C18" s="58">
        <v>4</v>
      </c>
      <c r="D18" s="86">
        <f>+$C$48</f>
        <v>5.99630996309963</v>
      </c>
      <c r="E18" s="82">
        <f>C18*D18</f>
        <v>23.98523985239852</v>
      </c>
      <c r="F18" s="50"/>
      <c r="G18" s="50"/>
      <c r="H18" s="51"/>
    </row>
    <row r="19" spans="3:5" ht="12.75">
      <c r="C19" s="24"/>
      <c r="D19" s="26" t="s">
        <v>111</v>
      </c>
      <c r="E19" s="83">
        <f>SUM(E12:E18)</f>
        <v>110.35690651906519</v>
      </c>
    </row>
    <row r="20" ht="12.75">
      <c r="C20" s="24"/>
    </row>
    <row r="21" spans="1:8" ht="12.75">
      <c r="A21" s="8" t="s">
        <v>112</v>
      </c>
      <c r="B21" s="7" t="s">
        <v>120</v>
      </c>
      <c r="C21" s="8" t="s">
        <v>109</v>
      </c>
      <c r="D21" s="56" t="s">
        <v>139</v>
      </c>
      <c r="E21" s="56" t="s">
        <v>138</v>
      </c>
      <c r="F21" s="56" t="s">
        <v>108</v>
      </c>
      <c r="G21" s="56"/>
      <c r="H21" s="56"/>
    </row>
    <row r="22" spans="1:8" ht="12.75">
      <c r="A22" s="37" t="s">
        <v>113</v>
      </c>
      <c r="B22" s="57"/>
      <c r="C22" s="58"/>
      <c r="D22" s="58"/>
      <c r="E22" s="81"/>
      <c r="F22" s="50"/>
      <c r="G22" s="50"/>
      <c r="H22" s="51"/>
    </row>
    <row r="23" spans="1:8" ht="12.75">
      <c r="A23" s="37" t="s">
        <v>114</v>
      </c>
      <c r="B23" s="59"/>
      <c r="C23" s="58"/>
      <c r="D23" s="58"/>
      <c r="E23" s="82"/>
      <c r="F23" s="50"/>
      <c r="G23" s="50"/>
      <c r="H23" s="51"/>
    </row>
    <row r="24" spans="1:8" ht="12.75">
      <c r="A24" s="37" t="s">
        <v>115</v>
      </c>
      <c r="B24" s="45"/>
      <c r="C24" s="58"/>
      <c r="D24" s="58"/>
      <c r="E24" s="82"/>
      <c r="F24" s="50"/>
      <c r="G24" s="50"/>
      <c r="H24" s="51"/>
    </row>
    <row r="25" spans="1:8" ht="12.75">
      <c r="A25" s="37" t="s">
        <v>116</v>
      </c>
      <c r="B25" s="59"/>
      <c r="C25" s="58"/>
      <c r="D25" s="58"/>
      <c r="E25" s="82"/>
      <c r="F25" s="50"/>
      <c r="G25" s="50"/>
      <c r="H25" s="51"/>
    </row>
    <row r="26" spans="1:8" ht="12.75">
      <c r="A26" s="37" t="s">
        <v>117</v>
      </c>
      <c r="B26" s="59"/>
      <c r="C26" s="58"/>
      <c r="D26" s="58"/>
      <c r="E26" s="82"/>
      <c r="F26" s="50"/>
      <c r="G26" s="50"/>
      <c r="H26" s="51"/>
    </row>
    <row r="27" spans="1:8" ht="12.75">
      <c r="A27" s="37" t="s">
        <v>118</v>
      </c>
      <c r="B27" s="59"/>
      <c r="C27" s="58"/>
      <c r="D27" s="58"/>
      <c r="E27" s="82"/>
      <c r="F27" s="50"/>
      <c r="G27" s="50"/>
      <c r="H27" s="51"/>
    </row>
    <row r="28" spans="1:8" ht="12.75">
      <c r="A28" s="37" t="s">
        <v>119</v>
      </c>
      <c r="B28" s="13" t="s">
        <v>146</v>
      </c>
      <c r="C28" s="58">
        <v>0</v>
      </c>
      <c r="D28" s="86">
        <f>+$C$48</f>
        <v>5.99630996309963</v>
      </c>
      <c r="E28" s="82">
        <f>C28*D28</f>
        <v>0</v>
      </c>
      <c r="F28" s="50"/>
      <c r="G28" s="50"/>
      <c r="H28" s="51"/>
    </row>
    <row r="29" spans="1:8" s="54" customFormat="1" ht="12.75">
      <c r="A29" s="33"/>
      <c r="B29"/>
      <c r="C29" s="23"/>
      <c r="D29" s="84" t="s">
        <v>121</v>
      </c>
      <c r="E29" s="85">
        <f>SUM(E22:E28)</f>
        <v>0</v>
      </c>
      <c r="F29"/>
      <c r="G29"/>
      <c r="H29"/>
    </row>
    <row r="30" spans="1:8" s="54" customFormat="1" ht="12.75">
      <c r="A30" s="62"/>
      <c r="C30" s="63"/>
      <c r="D30" s="64"/>
      <c r="E30" s="65"/>
      <c r="F30" s="65"/>
      <c r="G30" s="65"/>
      <c r="H30" s="65"/>
    </row>
    <row r="31" spans="1:8" s="54" customFormat="1" ht="12.75">
      <c r="A31" s="8" t="s">
        <v>122</v>
      </c>
      <c r="B31" s="7" t="s">
        <v>130</v>
      </c>
      <c r="C31" s="8" t="s">
        <v>109</v>
      </c>
      <c r="D31" s="56" t="s">
        <v>139</v>
      </c>
      <c r="E31" s="56" t="s">
        <v>138</v>
      </c>
      <c r="F31" s="56" t="s">
        <v>108</v>
      </c>
      <c r="G31" s="56"/>
      <c r="H31" s="56"/>
    </row>
    <row r="32" spans="1:8" ht="12.75">
      <c r="A32" s="37" t="s">
        <v>123</v>
      </c>
      <c r="B32" s="57"/>
      <c r="C32" s="58"/>
      <c r="D32" s="58"/>
      <c r="E32" s="81">
        <f>D32*C32</f>
        <v>0</v>
      </c>
      <c r="F32" s="50"/>
      <c r="G32" s="50"/>
      <c r="H32" s="51"/>
    </row>
    <row r="33" spans="1:8" ht="12.75">
      <c r="A33" s="37" t="s">
        <v>124</v>
      </c>
      <c r="B33" s="59"/>
      <c r="C33" s="58"/>
      <c r="D33" s="58"/>
      <c r="E33" s="82">
        <f>+C33*D33</f>
        <v>0</v>
      </c>
      <c r="F33" s="50"/>
      <c r="G33" s="50"/>
      <c r="H33" s="51"/>
    </row>
    <row r="34" spans="1:8" ht="12.75">
      <c r="A34" s="37" t="s">
        <v>125</v>
      </c>
      <c r="B34" s="45"/>
      <c r="C34" s="58"/>
      <c r="D34" s="58"/>
      <c r="E34" s="82">
        <f>+C34*D34</f>
        <v>0</v>
      </c>
      <c r="F34" s="50"/>
      <c r="G34" s="50"/>
      <c r="H34" s="51"/>
    </row>
    <row r="35" spans="1:8" ht="12.75">
      <c r="A35" s="37" t="s">
        <v>126</v>
      </c>
      <c r="B35" s="59"/>
      <c r="C35" s="58"/>
      <c r="D35" s="58"/>
      <c r="E35" s="82">
        <f>+C35*D35</f>
        <v>0</v>
      </c>
      <c r="F35" s="50"/>
      <c r="G35" s="50"/>
      <c r="H35" s="51"/>
    </row>
    <row r="36" spans="1:8" ht="12.75">
      <c r="A36" s="37" t="s">
        <v>127</v>
      </c>
      <c r="B36" s="59"/>
      <c r="C36" s="58"/>
      <c r="D36" s="58"/>
      <c r="E36" s="82">
        <f>+C36*D36</f>
        <v>0</v>
      </c>
      <c r="F36" s="50"/>
      <c r="G36" s="50"/>
      <c r="H36" s="51"/>
    </row>
    <row r="37" spans="1:8" ht="12.75">
      <c r="A37" s="37" t="s">
        <v>128</v>
      </c>
      <c r="B37" s="59"/>
      <c r="C37" s="58"/>
      <c r="D37" s="58"/>
      <c r="E37" s="82">
        <f>+C37*D37</f>
        <v>0</v>
      </c>
      <c r="F37" s="50"/>
      <c r="G37" s="50"/>
      <c r="H37" s="51"/>
    </row>
    <row r="38" spans="1:8" ht="12.75">
      <c r="A38" s="37" t="s">
        <v>129</v>
      </c>
      <c r="B38" s="13" t="s">
        <v>146</v>
      </c>
      <c r="C38" s="58">
        <v>0</v>
      </c>
      <c r="D38" s="86">
        <f>+$C$48</f>
        <v>5.99630996309963</v>
      </c>
      <c r="E38" s="82">
        <f>C38*D38</f>
        <v>0</v>
      </c>
      <c r="F38" s="50"/>
      <c r="G38" s="50"/>
      <c r="H38" s="51"/>
    </row>
    <row r="39" spans="3:5" ht="12.75">
      <c r="C39" s="23"/>
      <c r="D39" s="84" t="s">
        <v>131</v>
      </c>
      <c r="E39" s="85">
        <f>SUM(E32:E38)</f>
        <v>0</v>
      </c>
    </row>
    <row r="40" ht="13.5" thickBot="1"/>
    <row r="41" spans="2:8" ht="26.25" customHeight="1" thickBot="1">
      <c r="B41" s="20" t="s">
        <v>163</v>
      </c>
      <c r="C41" s="22"/>
      <c r="D41" s="27"/>
      <c r="E41" s="27"/>
      <c r="F41" s="20" t="s">
        <v>149</v>
      </c>
      <c r="G41" s="21"/>
      <c r="H41" s="22"/>
    </row>
    <row r="43" spans="1:6" ht="13.5" thickBot="1">
      <c r="A43" s="62"/>
      <c r="B43" s="68" t="s">
        <v>133</v>
      </c>
      <c r="C43" s="69" t="s">
        <v>79</v>
      </c>
      <c r="D43" s="69"/>
      <c r="E43" s="54"/>
      <c r="F43" s="68" t="s">
        <v>147</v>
      </c>
    </row>
    <row r="44" spans="1:8" s="19" customFormat="1" ht="12.75" customHeight="1" thickBot="1">
      <c r="A44" s="70"/>
      <c r="B44" s="12" t="s">
        <v>19</v>
      </c>
      <c r="C44" s="45">
        <v>24000</v>
      </c>
      <c r="D44" s="12" t="s">
        <v>145</v>
      </c>
      <c r="E44" s="71"/>
      <c r="F44" s="69" t="s">
        <v>137</v>
      </c>
      <c r="G44" s="69" t="s">
        <v>132</v>
      </c>
      <c r="H44" s="80">
        <v>27.1</v>
      </c>
    </row>
    <row r="45" spans="1:8" ht="12.75">
      <c r="A45" s="62"/>
      <c r="B45" s="11" t="s">
        <v>144</v>
      </c>
      <c r="C45" s="1">
        <f>+C44*0.3</f>
        <v>7200</v>
      </c>
      <c r="D45" s="12" t="s">
        <v>145</v>
      </c>
      <c r="E45" s="54"/>
      <c r="F45" s="72"/>
      <c r="G45" s="73"/>
      <c r="H45" s="74"/>
    </row>
    <row r="46" spans="1:5" ht="12.75">
      <c r="A46" s="62"/>
      <c r="B46" s="12" t="s">
        <v>134</v>
      </c>
      <c r="C46" s="60">
        <f>8*24</f>
        <v>192</v>
      </c>
      <c r="D46" s="12" t="s">
        <v>38</v>
      </c>
      <c r="E46" s="54"/>
    </row>
    <row r="47" spans="1:8" ht="13.5" thickBot="1">
      <c r="A47" s="62"/>
      <c r="B47" s="12" t="s">
        <v>135</v>
      </c>
      <c r="C47" s="79">
        <f>(C44+C45)/C46</f>
        <v>162.5</v>
      </c>
      <c r="D47" s="12" t="s">
        <v>39</v>
      </c>
      <c r="E47" s="54"/>
      <c r="F47" s="68" t="s">
        <v>148</v>
      </c>
      <c r="G47" s="73"/>
      <c r="H47" s="74"/>
    </row>
    <row r="48" spans="1:8" ht="13.5" thickBot="1">
      <c r="A48" s="62"/>
      <c r="B48" s="12" t="s">
        <v>136</v>
      </c>
      <c r="C48" s="79">
        <f>C47/$H$44</f>
        <v>5.99630996309963</v>
      </c>
      <c r="D48" s="12" t="s">
        <v>40</v>
      </c>
      <c r="E48" s="54"/>
      <c r="F48" s="87" t="s">
        <v>202</v>
      </c>
      <c r="G48" s="69"/>
      <c r="H48" s="130">
        <v>1.8</v>
      </c>
    </row>
    <row r="49" spans="1:8" ht="12.75">
      <c r="A49" s="62"/>
      <c r="B49" s="75"/>
      <c r="C49" s="67"/>
      <c r="D49" s="54"/>
      <c r="E49" s="54"/>
      <c r="F49" s="67"/>
      <c r="G49" s="76"/>
      <c r="H49" s="77"/>
    </row>
    <row r="50" ht="13.5" thickBot="1"/>
    <row r="51" spans="2:5" ht="26.25" customHeight="1" thickBot="1">
      <c r="B51" s="20" t="s">
        <v>150</v>
      </c>
      <c r="C51" s="22"/>
      <c r="D51" s="27"/>
      <c r="E51" s="27"/>
    </row>
    <row r="52" ht="13.5" thickBot="1"/>
    <row r="53" ht="13.5" thickBot="1">
      <c r="B53" s="147" t="s">
        <v>161</v>
      </c>
    </row>
    <row r="54" spans="2:8" ht="12.75">
      <c r="B54" s="146"/>
      <c r="C54" s="100"/>
      <c r="D54" s="101" t="s">
        <v>2</v>
      </c>
      <c r="E54" s="4" t="s">
        <v>3</v>
      </c>
      <c r="F54" s="4" t="s">
        <v>5</v>
      </c>
      <c r="G54" s="4" t="s">
        <v>6</v>
      </c>
      <c r="H54" s="4" t="s">
        <v>7</v>
      </c>
    </row>
    <row r="55" spans="2:9" ht="12.75" customHeight="1">
      <c r="B55" s="102" t="s">
        <v>151</v>
      </c>
      <c r="C55" s="103"/>
      <c r="D55" s="104">
        <v>500</v>
      </c>
      <c r="E55" s="104">
        <v>500</v>
      </c>
      <c r="F55" s="104">
        <v>600</v>
      </c>
      <c r="G55" s="35">
        <v>700</v>
      </c>
      <c r="H55" s="35">
        <v>800</v>
      </c>
      <c r="I55" s="54"/>
    </row>
    <row r="56" spans="2:9" ht="12.75" customHeight="1">
      <c r="B56" s="102" t="s">
        <v>154</v>
      </c>
      <c r="C56" s="103"/>
      <c r="D56" s="105">
        <f>+$E$19*$H$48</f>
        <v>198.64243173431734</v>
      </c>
      <c r="E56" s="112">
        <f>+$E$19*$H$48</f>
        <v>198.64243173431734</v>
      </c>
      <c r="F56" s="112">
        <f>+$E$19*$H$48</f>
        <v>198.64243173431734</v>
      </c>
      <c r="G56" s="112">
        <f>+$E$19*$H$48</f>
        <v>198.64243173431734</v>
      </c>
      <c r="H56" s="112">
        <f>+$E$19*$H$48</f>
        <v>198.64243173431734</v>
      </c>
      <c r="I56" s="54"/>
    </row>
    <row r="57" spans="2:9" ht="12.75" customHeight="1">
      <c r="B57" s="106" t="s">
        <v>157</v>
      </c>
      <c r="C57" s="103"/>
      <c r="D57" s="107">
        <f>+D56*D55</f>
        <v>99321.21586715867</v>
      </c>
      <c r="E57" s="113">
        <f>+E56*E55</f>
        <v>99321.21586715867</v>
      </c>
      <c r="F57" s="113">
        <f>+F56*F55</f>
        <v>119185.4590405904</v>
      </c>
      <c r="G57" s="113">
        <f>+G56*G55</f>
        <v>139049.70221402214</v>
      </c>
      <c r="H57" s="113">
        <f>+H56*H55</f>
        <v>158913.94538745386</v>
      </c>
      <c r="I57" s="54"/>
    </row>
    <row r="58" spans="2:9" ht="12.75">
      <c r="B58" s="102" t="s">
        <v>152</v>
      </c>
      <c r="C58" s="108"/>
      <c r="D58" s="104">
        <v>0</v>
      </c>
      <c r="E58" s="35">
        <v>0</v>
      </c>
      <c r="F58" s="35">
        <v>0</v>
      </c>
      <c r="G58" s="35">
        <v>0</v>
      </c>
      <c r="H58" s="35">
        <v>0</v>
      </c>
      <c r="I58" s="54"/>
    </row>
    <row r="59" spans="2:9" ht="12.75">
      <c r="B59" s="102" t="s">
        <v>155</v>
      </c>
      <c r="C59" s="109"/>
      <c r="D59" s="105">
        <f>+$E$29*$H$48</f>
        <v>0</v>
      </c>
      <c r="E59" s="112">
        <f>+$E$29*$H$48</f>
        <v>0</v>
      </c>
      <c r="F59" s="112">
        <f>+$E$29*$H$48</f>
        <v>0</v>
      </c>
      <c r="G59" s="112">
        <f>+$E$29*$H$48</f>
        <v>0</v>
      </c>
      <c r="H59" s="112">
        <f>+$E$29*$H$48</f>
        <v>0</v>
      </c>
      <c r="I59" s="54"/>
    </row>
    <row r="60" spans="2:9" ht="12.75">
      <c r="B60" s="106" t="s">
        <v>159</v>
      </c>
      <c r="C60" s="110"/>
      <c r="D60" s="107">
        <f>+D59*D58</f>
        <v>0</v>
      </c>
      <c r="E60" s="113">
        <f>+E59*E58</f>
        <v>0</v>
      </c>
      <c r="F60" s="113">
        <f>+F59*F58</f>
        <v>0</v>
      </c>
      <c r="G60" s="113">
        <f>+G59*G58</f>
        <v>0</v>
      </c>
      <c r="H60" s="113">
        <f>+H59*H58</f>
        <v>0</v>
      </c>
      <c r="I60" s="54"/>
    </row>
    <row r="61" spans="2:9" ht="12.75">
      <c r="B61" s="102" t="s">
        <v>153</v>
      </c>
      <c r="C61" s="110"/>
      <c r="D61" s="104">
        <v>0</v>
      </c>
      <c r="E61" s="35">
        <v>0</v>
      </c>
      <c r="F61" s="35">
        <v>0</v>
      </c>
      <c r="G61" s="35">
        <v>0</v>
      </c>
      <c r="H61" s="35">
        <v>0</v>
      </c>
      <c r="I61" s="54"/>
    </row>
    <row r="62" spans="2:9" ht="12.75">
      <c r="B62" s="102" t="s">
        <v>156</v>
      </c>
      <c r="C62" s="111"/>
      <c r="D62" s="105">
        <f>+$E$39*$H$48</f>
        <v>0</v>
      </c>
      <c r="E62" s="112">
        <f>+$E$39*$H$48</f>
        <v>0</v>
      </c>
      <c r="F62" s="112">
        <f>+$E$39*$H$48</f>
        <v>0</v>
      </c>
      <c r="G62" s="112">
        <f>+$E$39*$H$48</f>
        <v>0</v>
      </c>
      <c r="H62" s="112">
        <f>+$E$39*$H$48</f>
        <v>0</v>
      </c>
      <c r="I62" s="53"/>
    </row>
    <row r="63" spans="2:9" ht="12.75">
      <c r="B63" s="106" t="s">
        <v>158</v>
      </c>
      <c r="C63" s="103"/>
      <c r="D63" s="107">
        <f>+D62*D61</f>
        <v>0</v>
      </c>
      <c r="E63" s="113">
        <f>+E62*E61</f>
        <v>0</v>
      </c>
      <c r="F63" s="113">
        <f>+F62*F61</f>
        <v>0</v>
      </c>
      <c r="G63" s="113">
        <f>+G62*G61</f>
        <v>0</v>
      </c>
      <c r="H63" s="113">
        <f>+H62*H61</f>
        <v>0</v>
      </c>
      <c r="I63" s="72"/>
    </row>
    <row r="64" spans="3:9" ht="13.5" thickBot="1">
      <c r="C64" s="72"/>
      <c r="D64" s="72"/>
      <c r="E64" s="72"/>
      <c r="F64" s="72"/>
      <c r="G64" s="72"/>
      <c r="H64" s="72"/>
      <c r="I64" s="72"/>
    </row>
    <row r="65" spans="1:9" ht="13.5" thickBot="1">
      <c r="A65" s="38" t="s">
        <v>182</v>
      </c>
      <c r="B65" s="145" t="s">
        <v>160</v>
      </c>
      <c r="C65" s="99" t="s">
        <v>79</v>
      </c>
      <c r="D65" s="97">
        <f>+D57+D60+D63</f>
        <v>99321.21586715867</v>
      </c>
      <c r="E65" s="97">
        <f>+E57+E60+E63</f>
        <v>99321.21586715867</v>
      </c>
      <c r="F65" s="97">
        <f>+F57+F60+F63</f>
        <v>119185.4590405904</v>
      </c>
      <c r="G65" s="97">
        <f>+G57+G60+G63</f>
        <v>139049.70221402214</v>
      </c>
      <c r="H65" s="98">
        <f>+H57+H60+H63</f>
        <v>158913.94538745386</v>
      </c>
      <c r="I65" s="72"/>
    </row>
    <row r="66" spans="2:9" ht="12.75">
      <c r="B66" s="16"/>
      <c r="C66" s="91"/>
      <c r="D66" s="72"/>
      <c r="E66" s="72"/>
      <c r="F66" s="72"/>
      <c r="G66" s="72"/>
      <c r="H66" s="72"/>
      <c r="I66" s="54"/>
    </row>
  </sheetData>
  <sheetProtection/>
  <mergeCells count="5">
    <mergeCell ref="B41:C41"/>
    <mergeCell ref="F41:H41"/>
    <mergeCell ref="B51:C51"/>
    <mergeCell ref="D30:H30"/>
    <mergeCell ref="B9:C9"/>
  </mergeCells>
  <printOptions/>
  <pageMargins left="0.7086614173228347" right="0.7086614173228347" top="0.7480314960629921" bottom="0.7480314960629921" header="0.31496062992125984" footer="0.5118110236220472"/>
  <pageSetup fitToHeight="1" fitToWidth="1" orientation="portrait" paperSize="9" scale="68" r:id="rId2"/>
  <headerFooter alignWithMargins="0">
    <oddFooter>&amp;LEUCD - FARQ - UDELAR 2015&amp;C&amp;A&amp;R&amp;P</oddFoot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SheetLayoutView="100" zoomScalePageLayoutView="0" workbookViewId="0" topLeftCell="A1">
      <selection activeCell="F67" sqref="F67"/>
    </sheetView>
  </sheetViews>
  <sheetFormatPr defaultColWidth="11.421875" defaultRowHeight="12.75"/>
  <cols>
    <col min="1" max="1" width="5.7109375" style="33" customWidth="1"/>
    <col min="2" max="2" width="40.8515625" style="0" customWidth="1"/>
    <col min="3" max="9" width="14.7109375" style="0" customWidth="1"/>
  </cols>
  <sheetData>
    <row r="1" ht="12.75">
      <c r="H1" s="9" t="s">
        <v>164</v>
      </c>
    </row>
    <row r="2" ht="12.75"/>
    <row r="3" ht="12.75"/>
    <row r="4" ht="12.75"/>
    <row r="5" ht="12.75"/>
    <row r="6" ht="12.75"/>
    <row r="7" ht="12.75"/>
    <row r="8" ht="13.5" thickBot="1"/>
    <row r="9" spans="2:5" ht="26.25" customHeight="1" thickBot="1">
      <c r="B9" s="20" t="s">
        <v>165</v>
      </c>
      <c r="C9" s="22"/>
      <c r="D9" s="27"/>
      <c r="E9" s="27"/>
    </row>
    <row r="10" spans="3:5" ht="12.75">
      <c r="C10" s="6"/>
      <c r="D10" s="6"/>
      <c r="E10" s="5"/>
    </row>
    <row r="11" spans="1:2" ht="12.75">
      <c r="A11" s="8" t="s">
        <v>182</v>
      </c>
      <c r="B11" s="66" t="s">
        <v>160</v>
      </c>
    </row>
    <row r="12" spans="3:8" ht="12.75">
      <c r="C12" s="90" t="s">
        <v>88</v>
      </c>
      <c r="D12" s="92" t="s">
        <v>2</v>
      </c>
      <c r="E12" s="92" t="s">
        <v>3</v>
      </c>
      <c r="F12" s="92" t="s">
        <v>5</v>
      </c>
      <c r="G12" s="92" t="s">
        <v>6</v>
      </c>
      <c r="H12" s="92" t="s">
        <v>7</v>
      </c>
    </row>
    <row r="13" spans="3:8" ht="12.75">
      <c r="C13" s="118">
        <v>0</v>
      </c>
      <c r="D13" s="96">
        <f>+'Costos Unitarios y Ventas Estim'!D65</f>
        <v>99321.21586715867</v>
      </c>
      <c r="E13" s="96">
        <f>+'Costos Unitarios y Ventas Estim'!E65</f>
        <v>99321.21586715867</v>
      </c>
      <c r="F13" s="96">
        <f>+'Costos Unitarios y Ventas Estim'!F65</f>
        <v>119185.4590405904</v>
      </c>
      <c r="G13" s="96">
        <f>+'Costos Unitarios y Ventas Estim'!G65</f>
        <v>139049.70221402214</v>
      </c>
      <c r="H13" s="96">
        <f>+'Costos Unitarios y Ventas Estim'!H65</f>
        <v>158913.94538745386</v>
      </c>
    </row>
    <row r="14" spans="3:8" ht="12.75">
      <c r="C14" s="119"/>
      <c r="D14" s="119"/>
      <c r="E14" s="119"/>
      <c r="F14" s="119"/>
      <c r="G14" s="119"/>
      <c r="H14" s="119"/>
    </row>
    <row r="15" spans="1:8" ht="12.75">
      <c r="A15" s="8" t="s">
        <v>183</v>
      </c>
      <c r="B15" s="7" t="s">
        <v>166</v>
      </c>
      <c r="C15" s="119"/>
      <c r="D15" s="119"/>
      <c r="E15" s="119"/>
      <c r="F15" s="119"/>
      <c r="G15" s="119"/>
      <c r="H15" s="119"/>
    </row>
    <row r="16" spans="1:8" ht="12.75">
      <c r="A16" s="62" t="s">
        <v>184</v>
      </c>
      <c r="B16" s="16" t="s">
        <v>168</v>
      </c>
      <c r="D16" s="123">
        <f>+SUM('Costos Unitarios y Ventas Estim'!$E$12:$E$17)*'Costos Unitarios y Ventas Estim'!D55</f>
        <v>43185.833333333336</v>
      </c>
      <c r="E16" s="123">
        <f>+SUM('Costos Unitarios y Ventas Estim'!$E$12:$E$17)*'Costos Unitarios y Ventas Estim'!E55</f>
        <v>43185.833333333336</v>
      </c>
      <c r="F16" s="123">
        <f>+SUM('Costos Unitarios y Ventas Estim'!$E$12:$E$17)*'Costos Unitarios y Ventas Estim'!F55</f>
        <v>51823</v>
      </c>
      <c r="G16" s="123">
        <f>+SUM('Costos Unitarios y Ventas Estim'!$E$12:$E$17)*'Costos Unitarios y Ventas Estim'!G55</f>
        <v>60460.16666666667</v>
      </c>
      <c r="H16" s="123">
        <f>+SUM('Costos Unitarios y Ventas Estim'!$E$12:$E$17)*'Costos Unitarios y Ventas Estim'!H55</f>
        <v>69097.33333333334</v>
      </c>
    </row>
    <row r="17" spans="1:8" ht="12.75">
      <c r="A17" s="62" t="s">
        <v>185</v>
      </c>
      <c r="B17" s="9" t="s">
        <v>170</v>
      </c>
      <c r="D17" s="122">
        <f>+'Costos Unitarios y Ventas Estim'!$E$18*'Costos Unitarios y Ventas Estim'!D55</f>
        <v>11992.61992619926</v>
      </c>
      <c r="E17" s="122">
        <f>+'Costos Unitarios y Ventas Estim'!$E$18*'Costos Unitarios y Ventas Estim'!E55</f>
        <v>11992.61992619926</v>
      </c>
      <c r="F17" s="122">
        <f>+'Costos Unitarios y Ventas Estim'!$E$18*'Costos Unitarios y Ventas Estim'!F55</f>
        <v>14391.143911439112</v>
      </c>
      <c r="G17" s="122">
        <f>+'Costos Unitarios y Ventas Estim'!$E$18*'Costos Unitarios y Ventas Estim'!G55</f>
        <v>16789.667896678966</v>
      </c>
      <c r="H17" s="122">
        <f>+'Costos Unitarios y Ventas Estim'!$E$18*'Costos Unitarios y Ventas Estim'!H55</f>
        <v>19188.191881918818</v>
      </c>
    </row>
    <row r="18" spans="1:8" ht="12.75">
      <c r="A18" s="62" t="s">
        <v>186</v>
      </c>
      <c r="B18" s="16" t="s">
        <v>167</v>
      </c>
      <c r="D18" s="122">
        <f>+SUM('Costos Unitarios y Ventas Estim'!$E$22:$E$27)*'Costos Unitarios y Ventas Estim'!D58</f>
        <v>0</v>
      </c>
      <c r="E18" s="122">
        <f>+SUM('Costos Unitarios y Ventas Estim'!$E$22:$E$27)*'Costos Unitarios y Ventas Estim'!E58</f>
        <v>0</v>
      </c>
      <c r="F18" s="122">
        <f>+SUM('Costos Unitarios y Ventas Estim'!$E$22:$E$27)*'Costos Unitarios y Ventas Estim'!F58</f>
        <v>0</v>
      </c>
      <c r="G18" s="122">
        <f>+SUM('Costos Unitarios y Ventas Estim'!$E$22:$E$27)*'Costos Unitarios y Ventas Estim'!G58</f>
        <v>0</v>
      </c>
      <c r="H18" s="122">
        <f>+SUM('Costos Unitarios y Ventas Estim'!$E$22:$E$27)*'Costos Unitarios y Ventas Estim'!H58</f>
        <v>0</v>
      </c>
    </row>
    <row r="19" spans="1:8" ht="12.75">
      <c r="A19" s="62" t="s">
        <v>187</v>
      </c>
      <c r="B19" s="9" t="s">
        <v>171</v>
      </c>
      <c r="D19" s="122">
        <f>+'Costos Unitarios y Ventas Estim'!$E$28*'Costos Unitarios y Ventas Estim'!D58</f>
        <v>0</v>
      </c>
      <c r="E19" s="122">
        <f>+'Costos Unitarios y Ventas Estim'!$E$28*'Costos Unitarios y Ventas Estim'!E58</f>
        <v>0</v>
      </c>
      <c r="F19" s="122">
        <f>+'Costos Unitarios y Ventas Estim'!$E$28*'Costos Unitarios y Ventas Estim'!F58</f>
        <v>0</v>
      </c>
      <c r="G19" s="122">
        <f>+'Costos Unitarios y Ventas Estim'!$E$28*'Costos Unitarios y Ventas Estim'!G58</f>
        <v>0</v>
      </c>
      <c r="H19" s="122">
        <f>+'Costos Unitarios y Ventas Estim'!$E$28*'Costos Unitarios y Ventas Estim'!H58</f>
        <v>0</v>
      </c>
    </row>
    <row r="20" spans="1:8" ht="12.75">
      <c r="A20" s="62" t="s">
        <v>188</v>
      </c>
      <c r="B20" s="16" t="s">
        <v>169</v>
      </c>
      <c r="D20" s="122">
        <f>+SUM('Costos Unitarios y Ventas Estim'!$E$32:$E$37)*'Costos Unitarios y Ventas Estim'!D61</f>
        <v>0</v>
      </c>
      <c r="E20" s="122">
        <f>+SUM('Costos Unitarios y Ventas Estim'!$E$32:$E$37)*'Costos Unitarios y Ventas Estim'!E61</f>
        <v>0</v>
      </c>
      <c r="F20" s="122">
        <f>+SUM('Costos Unitarios y Ventas Estim'!$E$32:$E$37)*'Costos Unitarios y Ventas Estim'!F61</f>
        <v>0</v>
      </c>
      <c r="G20" s="122">
        <f>+SUM('Costos Unitarios y Ventas Estim'!$E$32:$E$37)*'Costos Unitarios y Ventas Estim'!G61</f>
        <v>0</v>
      </c>
      <c r="H20" s="122">
        <f>+SUM('Costos Unitarios y Ventas Estim'!$E$32:$E$37)*'Costos Unitarios y Ventas Estim'!H61</f>
        <v>0</v>
      </c>
    </row>
    <row r="21" spans="1:8" ht="12.75">
      <c r="A21" s="62" t="s">
        <v>189</v>
      </c>
      <c r="B21" s="9" t="s">
        <v>172</v>
      </c>
      <c r="D21" s="122">
        <f>+'Costos Unitarios y Ventas Estim'!$E$38*'Costos Unitarios y Ventas Estim'!D61</f>
        <v>0</v>
      </c>
      <c r="E21" s="122">
        <f>+'Costos Unitarios y Ventas Estim'!$E$38*'Costos Unitarios y Ventas Estim'!E61</f>
        <v>0</v>
      </c>
      <c r="F21" s="122">
        <f>+'Costos Unitarios y Ventas Estim'!$E$38*'Costos Unitarios y Ventas Estim'!F61</f>
        <v>0</v>
      </c>
      <c r="G21" s="122">
        <f>+'Costos Unitarios y Ventas Estim'!$E$38*'Costos Unitarios y Ventas Estim'!G61</f>
        <v>0</v>
      </c>
      <c r="H21" s="122">
        <f>+'Costos Unitarios y Ventas Estim'!$E$38*'Costos Unitarios y Ventas Estim'!H61</f>
        <v>0</v>
      </c>
    </row>
    <row r="22" spans="3:8" ht="12.75">
      <c r="C22" s="78"/>
      <c r="D22" s="95">
        <f>SUM(D16:D21)</f>
        <v>55178.453259532595</v>
      </c>
      <c r="E22" s="95">
        <f>SUM(E16:E21)</f>
        <v>55178.453259532595</v>
      </c>
      <c r="F22" s="95">
        <f>SUM(F16:F21)</f>
        <v>66214.14391143911</v>
      </c>
      <c r="G22" s="95">
        <f>SUM(G16:G21)</f>
        <v>77249.83456334563</v>
      </c>
      <c r="H22" s="95">
        <f>SUM(H16:H21)</f>
        <v>88285.52521525216</v>
      </c>
    </row>
    <row r="23" spans="3:8" ht="12.75">
      <c r="C23" s="23"/>
      <c r="D23" s="124"/>
      <c r="E23" s="125"/>
      <c r="F23" s="3"/>
      <c r="G23" s="3"/>
      <c r="H23" s="3"/>
    </row>
    <row r="24" spans="3:8" ht="12.75">
      <c r="C24" s="23"/>
      <c r="D24" s="3"/>
      <c r="E24" s="3"/>
      <c r="F24" s="3"/>
      <c r="G24" s="3"/>
      <c r="H24" s="3"/>
    </row>
    <row r="25" spans="1:8" ht="12.75">
      <c r="A25" s="55" t="s">
        <v>190</v>
      </c>
      <c r="B25" s="7" t="s">
        <v>201</v>
      </c>
      <c r="C25" s="90"/>
      <c r="D25" s="94"/>
      <c r="E25" s="94"/>
      <c r="F25" s="94"/>
      <c r="G25" s="94"/>
      <c r="H25" s="94"/>
    </row>
    <row r="26" spans="1:8" ht="12.75">
      <c r="A26" s="52" t="s">
        <v>193</v>
      </c>
      <c r="B26" s="9" t="s">
        <v>173</v>
      </c>
      <c r="C26" s="114"/>
      <c r="D26" s="133">
        <f>600*12</f>
        <v>7200</v>
      </c>
      <c r="E26" s="122">
        <f>+D26</f>
        <v>7200</v>
      </c>
      <c r="F26" s="122">
        <f>+E26</f>
        <v>7200</v>
      </c>
      <c r="G26" s="122">
        <f>+F26</f>
        <v>7200</v>
      </c>
      <c r="H26" s="122">
        <f>+G26</f>
        <v>7200</v>
      </c>
    </row>
    <row r="27" spans="1:8" ht="12.75">
      <c r="A27" s="52" t="s">
        <v>194</v>
      </c>
      <c r="B27" s="9" t="s">
        <v>178</v>
      </c>
      <c r="C27" s="114"/>
      <c r="D27" s="133">
        <f>200*12</f>
        <v>2400</v>
      </c>
      <c r="E27" s="122">
        <f aca="true" t="shared" si="0" ref="E27:F32">+D27</f>
        <v>2400</v>
      </c>
      <c r="F27" s="122">
        <f t="shared" si="0"/>
        <v>2400</v>
      </c>
      <c r="G27" s="122">
        <f>+F27</f>
        <v>2400</v>
      </c>
      <c r="H27" s="122">
        <f>+G27</f>
        <v>2400</v>
      </c>
    </row>
    <row r="28" spans="1:8" ht="12.75">
      <c r="A28" s="52" t="s">
        <v>195</v>
      </c>
      <c r="B28" s="9" t="s">
        <v>176</v>
      </c>
      <c r="C28" s="114"/>
      <c r="D28" s="133">
        <f>500*12</f>
        <v>6000</v>
      </c>
      <c r="E28" s="122">
        <f t="shared" si="0"/>
        <v>6000</v>
      </c>
      <c r="F28" s="122">
        <f t="shared" si="0"/>
        <v>6000</v>
      </c>
      <c r="G28" s="122">
        <f>+F28</f>
        <v>6000</v>
      </c>
      <c r="H28" s="122">
        <f>+G28</f>
        <v>6000</v>
      </c>
    </row>
    <row r="29" spans="1:8" s="54" customFormat="1" ht="12.75">
      <c r="A29" s="52" t="s">
        <v>196</v>
      </c>
      <c r="B29" s="9" t="s">
        <v>177</v>
      </c>
      <c r="C29" s="114"/>
      <c r="D29" s="133">
        <f>500*12</f>
        <v>6000</v>
      </c>
      <c r="E29" s="122">
        <f t="shared" si="0"/>
        <v>6000</v>
      </c>
      <c r="F29" s="122">
        <f t="shared" si="0"/>
        <v>6000</v>
      </c>
      <c r="G29" s="122">
        <f>+F29</f>
        <v>6000</v>
      </c>
      <c r="H29" s="122">
        <f>+G29</f>
        <v>6000</v>
      </c>
    </row>
    <row r="30" spans="1:8" s="54" customFormat="1" ht="12.75">
      <c r="A30" s="52" t="s">
        <v>197</v>
      </c>
      <c r="B30" s="9" t="s">
        <v>179</v>
      </c>
      <c r="C30" s="114"/>
      <c r="D30" s="133">
        <f>100*12</f>
        <v>1200</v>
      </c>
      <c r="E30" s="122">
        <f t="shared" si="0"/>
        <v>1200</v>
      </c>
      <c r="F30" s="122">
        <f t="shared" si="0"/>
        <v>1200</v>
      </c>
      <c r="G30" s="122">
        <f>+F30</f>
        <v>1200</v>
      </c>
      <c r="H30" s="122">
        <f>+G30</f>
        <v>1200</v>
      </c>
    </row>
    <row r="31" spans="1:8" s="54" customFormat="1" ht="12.75">
      <c r="A31" s="52" t="s">
        <v>198</v>
      </c>
      <c r="B31" s="9" t="s">
        <v>175</v>
      </c>
      <c r="C31" s="114"/>
      <c r="D31" s="133">
        <f>150*12</f>
        <v>1800</v>
      </c>
      <c r="E31" s="122">
        <f t="shared" si="0"/>
        <v>1800</v>
      </c>
      <c r="F31" s="122">
        <f t="shared" si="0"/>
        <v>1800</v>
      </c>
      <c r="G31" s="122">
        <f>+F31</f>
        <v>1800</v>
      </c>
      <c r="H31" s="122">
        <f>+G31</f>
        <v>1800</v>
      </c>
    </row>
    <row r="32" spans="1:8" ht="12.75">
      <c r="A32" s="52" t="s">
        <v>199</v>
      </c>
      <c r="B32" s="9" t="s">
        <v>174</v>
      </c>
      <c r="C32" s="114"/>
      <c r="D32" s="133">
        <f>+SUM(D26:D31)*0.1</f>
        <v>2460</v>
      </c>
      <c r="E32" s="122">
        <f t="shared" si="0"/>
        <v>2460</v>
      </c>
      <c r="F32" s="122">
        <f t="shared" si="0"/>
        <v>2460</v>
      </c>
      <c r="G32" s="122">
        <f>+F32</f>
        <v>2460</v>
      </c>
      <c r="H32" s="122">
        <f>+G32</f>
        <v>2460</v>
      </c>
    </row>
    <row r="33" spans="2:8" ht="12.75">
      <c r="B33" s="54"/>
      <c r="C33" s="23"/>
      <c r="D33" s="125">
        <f>SUM(D26:D32)</f>
        <v>27060</v>
      </c>
      <c r="E33" s="125">
        <f>SUM(E26:E32)</f>
        <v>27060</v>
      </c>
      <c r="F33" s="125">
        <f>SUM(F26:F32)</f>
        <v>27060</v>
      </c>
      <c r="G33" s="125">
        <f>SUM(G26:G32)</f>
        <v>27060</v>
      </c>
      <c r="H33" s="125">
        <f>SUM(H26:H32)</f>
        <v>27060</v>
      </c>
    </row>
    <row r="34" spans="3:8" ht="12.75">
      <c r="C34" s="120"/>
      <c r="D34" s="126"/>
      <c r="E34" s="126"/>
      <c r="F34" s="126"/>
      <c r="G34" s="126"/>
      <c r="H34" s="126"/>
    </row>
    <row r="35" spans="1:8" ht="12.75">
      <c r="A35" s="69" t="s">
        <v>191</v>
      </c>
      <c r="B35" s="7" t="s">
        <v>180</v>
      </c>
      <c r="C35" s="93"/>
      <c r="D35" s="127">
        <f>+'Inversiones y Financiamiento'!$F$49</f>
        <v>4900</v>
      </c>
      <c r="E35" s="127">
        <f>+'Inversiones y Financiamiento'!$F$49</f>
        <v>4900</v>
      </c>
      <c r="F35" s="127">
        <f>+'Inversiones y Financiamiento'!$F$49</f>
        <v>4900</v>
      </c>
      <c r="G35" s="127">
        <f>+'Inversiones y Financiamiento'!$F$49</f>
        <v>4900</v>
      </c>
      <c r="H35" s="127">
        <f>+'Inversiones y Financiamiento'!$F$49</f>
        <v>4900</v>
      </c>
    </row>
    <row r="36" spans="1:8" ht="12.75">
      <c r="A36" s="69"/>
      <c r="B36" s="7"/>
      <c r="C36" s="114"/>
      <c r="D36" s="95"/>
      <c r="E36" s="128"/>
      <c r="F36" s="129"/>
      <c r="G36" s="129"/>
      <c r="H36" s="129"/>
    </row>
    <row r="37" spans="1:8" ht="12.75">
      <c r="A37" s="69" t="s">
        <v>192</v>
      </c>
      <c r="B37" s="7" t="s">
        <v>210</v>
      </c>
      <c r="C37" s="114"/>
      <c r="D37" s="95">
        <f>+'Inversiones y Financiamiento'!D66</f>
        <v>5120</v>
      </c>
      <c r="E37" s="95">
        <f>+'Inversiones y Financiamiento'!E66</f>
        <v>4736</v>
      </c>
      <c r="F37" s="95">
        <f>+'Inversiones y Financiamiento'!F66</f>
        <v>4352</v>
      </c>
      <c r="G37" s="95">
        <f>+'Inversiones y Financiamiento'!G66</f>
        <v>3968</v>
      </c>
      <c r="H37" s="95">
        <f>+'Inversiones y Financiamiento'!H66</f>
        <v>3584</v>
      </c>
    </row>
    <row r="38" spans="1:8" ht="13.5" thickBot="1">
      <c r="A38" s="69"/>
      <c r="B38" s="7"/>
      <c r="C38" s="114"/>
      <c r="D38" s="114"/>
      <c r="E38" s="115"/>
      <c r="F38" s="121"/>
      <c r="G38" s="121"/>
      <c r="H38" s="121"/>
    </row>
    <row r="39" spans="1:8" ht="13.5" thickBot="1">
      <c r="A39" s="69" t="s">
        <v>200</v>
      </c>
      <c r="B39" s="7" t="s">
        <v>181</v>
      </c>
      <c r="D39" s="117"/>
      <c r="E39" s="116"/>
      <c r="F39" s="16"/>
      <c r="G39" s="16"/>
      <c r="H39" s="88">
        <v>0.25</v>
      </c>
    </row>
    <row r="40" ht="13.5" thickBot="1"/>
    <row r="41" spans="2:8" ht="26.25" customHeight="1" thickBot="1">
      <c r="B41" s="20" t="s">
        <v>205</v>
      </c>
      <c r="C41" s="22"/>
      <c r="D41" s="27"/>
      <c r="E41" s="27"/>
      <c r="F41" s="29"/>
      <c r="G41" s="29"/>
      <c r="H41" s="29"/>
    </row>
    <row r="43" spans="1:2" ht="12.75">
      <c r="A43" s="62"/>
      <c r="B43" s="7" t="s">
        <v>203</v>
      </c>
    </row>
    <row r="44" spans="1:8" s="19" customFormat="1" ht="12.75" customHeight="1">
      <c r="A44" s="70"/>
      <c r="B44" s="11" t="s">
        <v>143</v>
      </c>
      <c r="C44" s="4" t="s">
        <v>88</v>
      </c>
      <c r="D44" s="4" t="s">
        <v>2</v>
      </c>
      <c r="E44" s="4" t="s">
        <v>3</v>
      </c>
      <c r="F44" s="4" t="s">
        <v>5</v>
      </c>
      <c r="G44" s="4" t="s">
        <v>6</v>
      </c>
      <c r="H44" s="4" t="s">
        <v>7</v>
      </c>
    </row>
    <row r="45" spans="1:8" ht="12.75">
      <c r="A45" s="61" t="s">
        <v>182</v>
      </c>
      <c r="B45" s="11" t="str">
        <f>+B11</f>
        <v>Total Ingresos por Ventas Estimadas Anuales</v>
      </c>
      <c r="C45" s="2"/>
      <c r="D45" s="2">
        <f>+D13</f>
        <v>99321.21586715867</v>
      </c>
      <c r="E45" s="2">
        <f>+E13</f>
        <v>99321.21586715867</v>
      </c>
      <c r="F45" s="2">
        <f>+F13</f>
        <v>119185.4590405904</v>
      </c>
      <c r="G45" s="2">
        <f>+G13</f>
        <v>139049.70221402214</v>
      </c>
      <c r="H45" s="2">
        <f>+H13</f>
        <v>158913.94538745386</v>
      </c>
    </row>
    <row r="46" spans="1:8" ht="12.75">
      <c r="A46" s="61" t="s">
        <v>183</v>
      </c>
      <c r="B46" s="1" t="str">
        <f>+B15</f>
        <v>Costos Variablles del Proyecto en USD</v>
      </c>
      <c r="C46" s="2"/>
      <c r="D46" s="2">
        <f>+D22</f>
        <v>55178.453259532595</v>
      </c>
      <c r="E46" s="2">
        <f>+E22</f>
        <v>55178.453259532595</v>
      </c>
      <c r="F46" s="2">
        <f>+F22</f>
        <v>66214.14391143911</v>
      </c>
      <c r="G46" s="2">
        <f>+G22</f>
        <v>77249.83456334563</v>
      </c>
      <c r="H46" s="2">
        <f>+H22</f>
        <v>88285.52521525216</v>
      </c>
    </row>
    <row r="47" spans="1:8" ht="12.75">
      <c r="A47" s="61" t="s">
        <v>190</v>
      </c>
      <c r="B47" s="11" t="str">
        <f>+B25</f>
        <v>Costos Fijos del Proyecto en USD ANUAL</v>
      </c>
      <c r="C47" s="2"/>
      <c r="D47" s="2">
        <f>+D33</f>
        <v>27060</v>
      </c>
      <c r="E47" s="2">
        <f>+E33</f>
        <v>27060</v>
      </c>
      <c r="F47" s="2">
        <f>+F33</f>
        <v>27060</v>
      </c>
      <c r="G47" s="2">
        <f>+G33</f>
        <v>27060</v>
      </c>
      <c r="H47" s="2">
        <f>+H33</f>
        <v>27060</v>
      </c>
    </row>
    <row r="48" spans="1:8" ht="12.75">
      <c r="A48" s="61" t="s">
        <v>191</v>
      </c>
      <c r="B48" s="12" t="str">
        <f>+B35</f>
        <v>Depreciación de Inversiones</v>
      </c>
      <c r="C48" s="1"/>
      <c r="D48" s="47">
        <f>+D35</f>
        <v>4900</v>
      </c>
      <c r="E48" s="47">
        <f>+E35</f>
        <v>4900</v>
      </c>
      <c r="F48" s="47">
        <f>+F35</f>
        <v>4900</v>
      </c>
      <c r="G48" s="47">
        <f>+G35</f>
        <v>4900</v>
      </c>
      <c r="H48" s="47">
        <f>+H35</f>
        <v>4900</v>
      </c>
    </row>
    <row r="49" spans="1:8" ht="12.75">
      <c r="A49" s="62"/>
      <c r="B49" s="131" t="s">
        <v>204</v>
      </c>
      <c r="C49" s="89">
        <f>+C45-C46-C47</f>
        <v>0</v>
      </c>
      <c r="D49" s="132">
        <f>+D45-D46-D47-D48</f>
        <v>12182.762607626071</v>
      </c>
      <c r="E49" s="132">
        <f>+E45-E46-E47-E48</f>
        <v>12182.762607626071</v>
      </c>
      <c r="F49" s="132">
        <f>+F45-F46-F47-F48</f>
        <v>21011.31512915129</v>
      </c>
      <c r="G49" s="132">
        <f>+G45-G46-G47-G48</f>
        <v>29839.867650676504</v>
      </c>
      <c r="H49" s="132">
        <f>+H45-H46-H47-H48</f>
        <v>38668.4201722017</v>
      </c>
    </row>
    <row r="50" ht="13.5" thickBot="1"/>
    <row r="51" spans="2:5" ht="26.25" customHeight="1" thickBot="1">
      <c r="B51" s="20" t="s">
        <v>214</v>
      </c>
      <c r="C51" s="22"/>
      <c r="D51" s="27"/>
      <c r="E51" s="27"/>
    </row>
    <row r="53" ht="12.75">
      <c r="B53" s="7" t="s">
        <v>206</v>
      </c>
    </row>
    <row r="54" spans="2:8" ht="12.75">
      <c r="B54" s="11" t="s">
        <v>143</v>
      </c>
      <c r="C54" s="4" t="s">
        <v>88</v>
      </c>
      <c r="D54" s="4" t="s">
        <v>2</v>
      </c>
      <c r="E54" s="4" t="s">
        <v>3</v>
      </c>
      <c r="F54" s="4" t="s">
        <v>5</v>
      </c>
      <c r="G54" s="4" t="s">
        <v>6</v>
      </c>
      <c r="H54" s="4" t="s">
        <v>7</v>
      </c>
    </row>
    <row r="55" spans="2:9" ht="12.75" customHeight="1">
      <c r="B55" s="11" t="s">
        <v>211</v>
      </c>
      <c r="C55" s="134">
        <f>+'Inversiones y Financiamiento'!C49</f>
        <v>21500</v>
      </c>
      <c r="D55" s="2"/>
      <c r="E55" s="2"/>
      <c r="F55" s="2"/>
      <c r="G55" s="2"/>
      <c r="H55" s="136">
        <f>-'Inversiones y Financiamiento'!H49</f>
        <v>-3200</v>
      </c>
      <c r="I55" s="54"/>
    </row>
    <row r="56" spans="2:9" ht="12.75" customHeight="1">
      <c r="B56" s="135" t="s">
        <v>208</v>
      </c>
      <c r="C56" s="112">
        <f>+C49</f>
        <v>0</v>
      </c>
      <c r="D56" s="112">
        <f>+D49</f>
        <v>12182.762607626071</v>
      </c>
      <c r="E56" s="112">
        <f>+E49</f>
        <v>12182.762607626071</v>
      </c>
      <c r="F56" s="112">
        <f>+F49</f>
        <v>21011.31512915129</v>
      </c>
      <c r="G56" s="112">
        <f>+G49</f>
        <v>29839.867650676504</v>
      </c>
      <c r="H56" s="112">
        <f>+H49</f>
        <v>38668.4201722017</v>
      </c>
      <c r="I56" s="54"/>
    </row>
    <row r="57" spans="1:9" ht="12.75" customHeight="1">
      <c r="A57" s="37" t="s">
        <v>192</v>
      </c>
      <c r="B57" s="12" t="str">
        <f>+B37</f>
        <v>Pago de amortización e Intereses del crédito</v>
      </c>
      <c r="C57" s="112">
        <f>+C37</f>
        <v>0</v>
      </c>
      <c r="D57" s="112">
        <f>+D37</f>
        <v>5120</v>
      </c>
      <c r="E57" s="112">
        <f>+E37</f>
        <v>4736</v>
      </c>
      <c r="F57" s="112">
        <f>+F37</f>
        <v>4352</v>
      </c>
      <c r="G57" s="112">
        <f>+G37</f>
        <v>3968</v>
      </c>
      <c r="H57" s="112">
        <f>+H37</f>
        <v>3584</v>
      </c>
      <c r="I57" s="54"/>
    </row>
    <row r="58" spans="2:9" ht="12.75">
      <c r="B58" s="36" t="s">
        <v>207</v>
      </c>
      <c r="C58" s="112">
        <f>-C55+C56-C57</f>
        <v>-21500</v>
      </c>
      <c r="D58" s="112">
        <f>-D55+D56-D57</f>
        <v>7062.762607626071</v>
      </c>
      <c r="E58" s="112">
        <f>-E55+E56-E57</f>
        <v>7446.762607626071</v>
      </c>
      <c r="F58" s="112">
        <f>-F55+F56-F57</f>
        <v>16659.31512915129</v>
      </c>
      <c r="G58" s="112">
        <f>-G55+G56-G57</f>
        <v>25871.867650676504</v>
      </c>
      <c r="H58" s="112">
        <f>-H55+H56-H57</f>
        <v>38284.4201722017</v>
      </c>
      <c r="I58" s="54"/>
    </row>
    <row r="59" spans="1:9" ht="12.75">
      <c r="A59" s="37" t="s">
        <v>200</v>
      </c>
      <c r="B59" s="12" t="s">
        <v>181</v>
      </c>
      <c r="C59" s="112">
        <f>IF((+C58*$H$39)&gt;0,(C58*$H$39),0)</f>
        <v>0</v>
      </c>
      <c r="D59" s="112">
        <f>IF((+D58*$H$39)&gt;0,(D58*$H$39),0)</f>
        <v>1765.6906519065178</v>
      </c>
      <c r="E59" s="112">
        <f>IF((+E58*$H$39)&gt;0,(E58*$H$39),0)</f>
        <v>1861.6906519065178</v>
      </c>
      <c r="F59" s="112">
        <f>IF((+F58*$H$39)&gt;0,(F58*$H$39),0)</f>
        <v>4164.828782287823</v>
      </c>
      <c r="G59" s="112">
        <f>IF((+G58*$H$39)&gt;0,(G58*$H$39),0)</f>
        <v>6467.966912669126</v>
      </c>
      <c r="H59" s="112">
        <f>IF((+H58*$H$39)&gt;0,(H58*$H$39),0)</f>
        <v>9571.105043050426</v>
      </c>
      <c r="I59" s="54"/>
    </row>
    <row r="60" spans="2:9" ht="12.75">
      <c r="B60" s="36" t="s">
        <v>209</v>
      </c>
      <c r="C60" s="136">
        <f>+C58-C59</f>
        <v>-21500</v>
      </c>
      <c r="D60" s="136">
        <f>+D58-D59</f>
        <v>5297.071955719553</v>
      </c>
      <c r="E60" s="136">
        <f>+E58-E59</f>
        <v>5585.071955719553</v>
      </c>
      <c r="F60" s="136">
        <f>+F58-F59</f>
        <v>12494.486346863468</v>
      </c>
      <c r="G60" s="136">
        <f>+G58-G59</f>
        <v>19403.900738007378</v>
      </c>
      <c r="H60" s="136">
        <f>+H58-H59</f>
        <v>28713.315129151277</v>
      </c>
      <c r="I60" s="54"/>
    </row>
    <row r="61" spans="2:9" ht="12.75">
      <c r="B61" s="16"/>
      <c r="C61" s="54"/>
      <c r="D61" s="72"/>
      <c r="E61" s="72"/>
      <c r="F61" s="72"/>
      <c r="G61" s="72"/>
      <c r="H61" s="72"/>
      <c r="I61" s="54"/>
    </row>
    <row r="62" spans="2:9" ht="25.5">
      <c r="B62" s="143" t="s">
        <v>212</v>
      </c>
      <c r="C62" s="144" t="s">
        <v>20</v>
      </c>
      <c r="D62" s="143" t="s">
        <v>21</v>
      </c>
      <c r="E62" s="143" t="s">
        <v>22</v>
      </c>
      <c r="F62" s="143" t="s">
        <v>23</v>
      </c>
      <c r="G62" s="143" t="s">
        <v>24</v>
      </c>
      <c r="H62" s="143" t="s">
        <v>25</v>
      </c>
      <c r="I62" s="53"/>
    </row>
    <row r="63" spans="2:9" ht="12.75">
      <c r="B63" s="15">
        <v>0.12</v>
      </c>
      <c r="C63" s="141">
        <f>+C60</f>
        <v>-21500</v>
      </c>
      <c r="D63" s="142">
        <f>+D60</f>
        <v>5297.071955719553</v>
      </c>
      <c r="E63" s="142">
        <f>+E60</f>
        <v>5585.071955719553</v>
      </c>
      <c r="F63" s="142">
        <f>+F60</f>
        <v>12494.486346863468</v>
      </c>
      <c r="G63" s="142">
        <f>+G60</f>
        <v>19403.900738007378</v>
      </c>
      <c r="H63" s="142">
        <f>+H60</f>
        <v>28713.315129151277</v>
      </c>
      <c r="I63" s="72"/>
    </row>
    <row r="64" spans="2:9" ht="12.75">
      <c r="B64" s="28"/>
      <c r="C64" s="72"/>
      <c r="D64" s="72"/>
      <c r="E64" s="72"/>
      <c r="F64" s="72"/>
      <c r="G64" s="72"/>
      <c r="H64" s="72"/>
      <c r="I64" s="72"/>
    </row>
    <row r="65" spans="2:9" ht="12.75">
      <c r="B65" s="140" t="s">
        <v>27</v>
      </c>
      <c r="C65" s="140"/>
      <c r="D65" s="138">
        <f>NPV(B63,C63:H63)</f>
        <v>22499.534036173096</v>
      </c>
      <c r="E65" s="96"/>
      <c r="F65" s="96" t="s">
        <v>213</v>
      </c>
      <c r="G65" s="96"/>
      <c r="H65" s="96"/>
      <c r="I65" s="72"/>
    </row>
    <row r="66" spans="2:9" ht="12.75">
      <c r="B66" s="140" t="s">
        <v>28</v>
      </c>
      <c r="C66" s="140"/>
      <c r="D66" s="139">
        <f>IRR(C63:H63)</f>
        <v>0.401529606022087</v>
      </c>
      <c r="E66" s="72"/>
      <c r="F66" s="96" t="s">
        <v>215</v>
      </c>
      <c r="G66" s="72"/>
      <c r="H66" s="72"/>
      <c r="I66" s="54"/>
    </row>
  </sheetData>
  <sheetProtection/>
  <mergeCells count="6">
    <mergeCell ref="B65:C65"/>
    <mergeCell ref="B66:C66"/>
    <mergeCell ref="B9:C9"/>
    <mergeCell ref="B41:C41"/>
    <mergeCell ref="F41:H41"/>
    <mergeCell ref="B51:C51"/>
  </mergeCells>
  <printOptions/>
  <pageMargins left="0.7086614173228347" right="0.7086614173228347" top="0.7480314960629921" bottom="0.7480314960629921" header="0.31496062992125984" footer="0.5118110236220472"/>
  <pageSetup fitToHeight="1" fitToWidth="1" orientation="portrait" paperSize="9" scale="68" r:id="rId2"/>
  <headerFooter alignWithMargins="0">
    <oddFooter>&amp;LEUCD - FARQ - UDELAR 2015&amp;C&amp;A&amp;R&amp;P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hepa</dc:creator>
  <cp:keywords/>
  <dc:description/>
  <cp:lastModifiedBy>Ariel</cp:lastModifiedBy>
  <cp:lastPrinted>2015-06-15T02:53:54Z</cp:lastPrinted>
  <dcterms:created xsi:type="dcterms:W3CDTF">2010-08-31T02:47:53Z</dcterms:created>
  <dcterms:modified xsi:type="dcterms:W3CDTF">2015-06-15T02:58:24Z</dcterms:modified>
  <cp:category/>
  <cp:version/>
  <cp:contentType/>
  <cp:contentStatus/>
</cp:coreProperties>
</file>